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4240" windowHeight="12090" tabRatio="772" activeTab="2"/>
  </bookViews>
  <sheets>
    <sheet name="封面" sheetId="1" r:id="rId1"/>
    <sheet name="基本情况表" sheetId="2" r:id="rId2"/>
    <sheet name="收入情况表" sheetId="3" r:id="rId3"/>
    <sheet name="教育成本归集表" sheetId="4" r:id="rId4"/>
    <sheet name="教育培养成本核定表" sheetId="5" r:id="rId5"/>
    <sheet name="学生人数核定表" sheetId="12" r:id="rId6"/>
    <sheet name="教职工人数核定表" sheetId="7" r:id="rId7"/>
    <sheet name="薪酬核定表" sheetId="8" r:id="rId8"/>
    <sheet name="固定资产折旧计算表" sheetId="9" r:id="rId9"/>
    <sheet name="承若书" sheetId="10" r:id="rId10"/>
  </sheets>
  <externalReferences>
    <externalReference r:id="rId11"/>
    <externalReference r:id="rId12"/>
  </externalReferences>
  <definedNames>
    <definedName name="_xlnm.Print_Titles" localSheetId="3">教育成本归集表!$1:$4</definedName>
  </definedNames>
  <calcPr calcId="125725"/>
</workbook>
</file>

<file path=xl/calcChain.xml><?xml version="1.0" encoding="utf-8"?>
<calcChain xmlns="http://schemas.openxmlformats.org/spreadsheetml/2006/main">
  <c r="C27" i="8"/>
  <c r="C17" i="9"/>
  <c r="H18"/>
  <c r="H17"/>
  <c r="G44" i="4" s="1"/>
  <c r="L20" i="9"/>
  <c r="L19"/>
  <c r="M17"/>
  <c r="M19" s="1"/>
  <c r="D22" i="3"/>
  <c r="J36" i="4"/>
  <c r="I36" s="1"/>
  <c r="G36"/>
  <c r="G12" s="1"/>
  <c r="C16" i="5" s="1"/>
  <c r="G22" i="4"/>
  <c r="D15" i="3"/>
  <c r="G9" i="4"/>
  <c r="F9"/>
  <c r="D9"/>
  <c r="J9"/>
  <c r="D5"/>
  <c r="C5" s="1"/>
  <c r="D20" i="5"/>
  <c r="D19"/>
  <c r="D17"/>
  <c r="C20"/>
  <c r="C17"/>
  <c r="B20"/>
  <c r="B18"/>
  <c r="B17"/>
  <c r="B15"/>
  <c r="G5" i="4"/>
  <c r="D4" i="8"/>
  <c r="C4" s="1"/>
  <c r="H44" i="4"/>
  <c r="H55"/>
  <c r="C25" i="12"/>
  <c r="D27"/>
  <c r="C27"/>
  <c r="B27"/>
  <c r="D26"/>
  <c r="C26"/>
  <c r="B26"/>
  <c r="E19"/>
  <c r="E18"/>
  <c r="C24"/>
  <c r="D24"/>
  <c r="D25"/>
  <c r="D44" i="4"/>
  <c r="B24" i="12"/>
  <c r="E4"/>
  <c r="E5"/>
  <c r="I54" i="4"/>
  <c r="I53"/>
  <c r="I52"/>
  <c r="I51"/>
  <c r="I45"/>
  <c r="I43"/>
  <c r="I42"/>
  <c r="I41"/>
  <c r="I40"/>
  <c r="I39"/>
  <c r="I38"/>
  <c r="I37"/>
  <c r="I35"/>
  <c r="I34"/>
  <c r="I33"/>
  <c r="I32"/>
  <c r="I29"/>
  <c r="I28"/>
  <c r="I27"/>
  <c r="I26"/>
  <c r="I25"/>
  <c r="I24"/>
  <c r="I23"/>
  <c r="I22"/>
  <c r="I21"/>
  <c r="I20"/>
  <c r="I19"/>
  <c r="I18"/>
  <c r="I17"/>
  <c r="I16"/>
  <c r="I15"/>
  <c r="I14"/>
  <c r="I13"/>
  <c r="I11"/>
  <c r="I10"/>
  <c r="I9"/>
  <c r="I8"/>
  <c r="J37"/>
  <c r="H21"/>
  <c r="H18"/>
  <c r="H17"/>
  <c r="F54"/>
  <c r="F53"/>
  <c r="F52"/>
  <c r="F51"/>
  <c r="F50"/>
  <c r="F49"/>
  <c r="F45"/>
  <c r="F43"/>
  <c r="F42"/>
  <c r="F41"/>
  <c r="F40"/>
  <c r="F39"/>
  <c r="F38"/>
  <c r="F37"/>
  <c r="F36"/>
  <c r="F35"/>
  <c r="F34"/>
  <c r="F33"/>
  <c r="F32"/>
  <c r="F31"/>
  <c r="F30"/>
  <c r="F29"/>
  <c r="F28"/>
  <c r="F27"/>
  <c r="F26"/>
  <c r="F25"/>
  <c r="F24"/>
  <c r="F23"/>
  <c r="F22"/>
  <c r="F21"/>
  <c r="F20"/>
  <c r="F19"/>
  <c r="F18"/>
  <c r="F17"/>
  <c r="F16"/>
  <c r="F15"/>
  <c r="F14"/>
  <c r="F13"/>
  <c r="F11"/>
  <c r="F10"/>
  <c r="F8"/>
  <c r="F7"/>
  <c r="F6"/>
  <c r="G37"/>
  <c r="E13"/>
  <c r="D12"/>
  <c r="B16" i="5" s="1"/>
  <c r="C54" i="4"/>
  <c r="C53"/>
  <c r="C52"/>
  <c r="C51"/>
  <c r="C50"/>
  <c r="C49"/>
  <c r="C47"/>
  <c r="C45"/>
  <c r="C43"/>
  <c r="C42"/>
  <c r="C41"/>
  <c r="C40"/>
  <c r="C39"/>
  <c r="C38"/>
  <c r="C37"/>
  <c r="C36"/>
  <c r="C35"/>
  <c r="C34"/>
  <c r="C33"/>
  <c r="C32"/>
  <c r="C31"/>
  <c r="C30"/>
  <c r="C29"/>
  <c r="C28"/>
  <c r="C27"/>
  <c r="C26"/>
  <c r="C25"/>
  <c r="C24"/>
  <c r="C23"/>
  <c r="C22"/>
  <c r="C21"/>
  <c r="C20"/>
  <c r="C19"/>
  <c r="C18"/>
  <c r="C17"/>
  <c r="C16"/>
  <c r="C15"/>
  <c r="C14"/>
  <c r="C13"/>
  <c r="C11"/>
  <c r="C10"/>
  <c r="C9"/>
  <c r="C8"/>
  <c r="C7"/>
  <c r="C6"/>
  <c r="B22" i="3"/>
  <c r="C24"/>
  <c r="C23"/>
  <c r="C22"/>
  <c r="B24"/>
  <c r="B23"/>
  <c r="G9" i="9"/>
  <c r="G3"/>
  <c r="B9"/>
  <c r="B3"/>
  <c r="L12"/>
  <c r="O12" s="1"/>
  <c r="O9" s="1"/>
  <c r="O3" s="1"/>
  <c r="O11"/>
  <c r="O10"/>
  <c r="O4"/>
  <c r="L4"/>
  <c r="G12"/>
  <c r="J12" s="1"/>
  <c r="J9" s="1"/>
  <c r="J11"/>
  <c r="J10"/>
  <c r="J4"/>
  <c r="G4"/>
  <c r="C18"/>
  <c r="C20"/>
  <c r="C19"/>
  <c r="B34" i="8"/>
  <c r="B4"/>
  <c r="B5"/>
  <c r="B6"/>
  <c r="C6" s="1"/>
  <c r="C7"/>
  <c r="C8"/>
  <c r="B9"/>
  <c r="C9" s="1"/>
  <c r="B10"/>
  <c r="C10" s="1"/>
  <c r="B11"/>
  <c r="C11" s="1"/>
  <c r="B13"/>
  <c r="B15"/>
  <c r="C15" s="1"/>
  <c r="B16"/>
  <c r="C16" s="1"/>
  <c r="B17"/>
  <c r="C17" s="1"/>
  <c r="C18"/>
  <c r="C19"/>
  <c r="B20"/>
  <c r="C20" s="1"/>
  <c r="B21"/>
  <c r="C21" s="1"/>
  <c r="D21"/>
  <c r="B22"/>
  <c r="D22"/>
  <c r="B24" s="1"/>
  <c r="B26"/>
  <c r="B27"/>
  <c r="B28"/>
  <c r="C28" s="1"/>
  <c r="C29"/>
  <c r="C30"/>
  <c r="B31"/>
  <c r="C31" s="1"/>
  <c r="B32"/>
  <c r="B33"/>
  <c r="Q31" i="9"/>
  <c r="Q28" s="1"/>
  <c r="Q3" s="1"/>
  <c r="Q29"/>
  <c r="T28"/>
  <c r="T21"/>
  <c r="Q21"/>
  <c r="Q11"/>
  <c r="Q10"/>
  <c r="T9"/>
  <c r="T3" s="1"/>
  <c r="Q9"/>
  <c r="T4"/>
  <c r="Q4"/>
  <c r="E9"/>
  <c r="E11"/>
  <c r="E10"/>
  <c r="E12"/>
  <c r="B12"/>
  <c r="K5" i="7"/>
  <c r="L5" s="1"/>
  <c r="D26" i="8" s="1"/>
  <c r="J6" i="4" s="1"/>
  <c r="K4" i="7"/>
  <c r="L4" s="1"/>
  <c r="K3"/>
  <c r="L3" s="1"/>
  <c r="G35"/>
  <c r="F35"/>
  <c r="D19"/>
  <c r="G19"/>
  <c r="F19"/>
  <c r="G3"/>
  <c r="F3"/>
  <c r="E5" i="4"/>
  <c r="E7"/>
  <c r="B17"/>
  <c r="B13"/>
  <c r="B9"/>
  <c r="B6"/>
  <c r="E6"/>
  <c r="E42" i="7"/>
  <c r="E35" s="1"/>
  <c r="D39"/>
  <c r="E26"/>
  <c r="E23"/>
  <c r="E22"/>
  <c r="E19" s="1"/>
  <c r="D38"/>
  <c r="D23"/>
  <c r="D22"/>
  <c r="E10"/>
  <c r="E7"/>
  <c r="E3" s="1"/>
  <c r="D7"/>
  <c r="D6"/>
  <c r="D3" s="1"/>
  <c r="B25" i="12"/>
  <c r="E11"/>
  <c r="E14"/>
  <c r="E13"/>
  <c r="E12"/>
  <c r="E10"/>
  <c r="E8"/>
  <c r="E7"/>
  <c r="E6"/>
  <c r="E4" i="9"/>
  <c r="B4"/>
  <c r="D21" i="12"/>
  <c r="C21"/>
  <c r="B21"/>
  <c r="D14"/>
  <c r="C14"/>
  <c r="B14"/>
  <c r="B13"/>
  <c r="B12"/>
  <c r="D7"/>
  <c r="C7"/>
  <c r="B7"/>
  <c r="B6"/>
  <c r="B5"/>
  <c r="C19" i="5"/>
  <c r="B19"/>
  <c r="B12"/>
  <c r="B54" i="4"/>
  <c r="B53"/>
  <c r="H51"/>
  <c r="E51"/>
  <c r="B51"/>
  <c r="H48"/>
  <c r="E48"/>
  <c r="B48"/>
  <c r="H47"/>
  <c r="E47"/>
  <c r="H46"/>
  <c r="E46"/>
  <c r="B46"/>
  <c r="E44"/>
  <c r="B44"/>
  <c r="B43"/>
  <c r="H37"/>
  <c r="E37"/>
  <c r="B37"/>
  <c r="H36"/>
  <c r="E36"/>
  <c r="B36"/>
  <c r="H34"/>
  <c r="E34"/>
  <c r="B34"/>
  <c r="H32"/>
  <c r="E32"/>
  <c r="B32"/>
  <c r="H27"/>
  <c r="E27"/>
  <c r="B27"/>
  <c r="H24"/>
  <c r="E24"/>
  <c r="E21"/>
  <c r="H13"/>
  <c r="H12"/>
  <c r="E12"/>
  <c r="B12"/>
  <c r="H9"/>
  <c r="E9"/>
  <c r="H8"/>
  <c r="H7"/>
  <c r="H6"/>
  <c r="H5"/>
  <c r="B5"/>
  <c r="D19" i="3"/>
  <c r="C19"/>
  <c r="B19"/>
  <c r="D18"/>
  <c r="C18"/>
  <c r="C15"/>
  <c r="B15"/>
  <c r="D14"/>
  <c r="C14"/>
  <c r="B14"/>
  <c r="D13"/>
  <c r="D12" s="1"/>
  <c r="D11" s="1"/>
  <c r="D23" s="1"/>
  <c r="C13"/>
  <c r="B13"/>
  <c r="C12"/>
  <c r="B12"/>
  <c r="C11"/>
  <c r="B11"/>
  <c r="D6"/>
  <c r="C6"/>
  <c r="D5"/>
  <c r="C5"/>
  <c r="B5"/>
  <c r="D33" i="2"/>
  <c r="C33"/>
  <c r="B33"/>
  <c r="D32"/>
  <c r="C32"/>
  <c r="B32"/>
  <c r="D31"/>
  <c r="C31"/>
  <c r="B31"/>
  <c r="D29"/>
  <c r="C29"/>
  <c r="B29"/>
  <c r="D27"/>
  <c r="C27"/>
  <c r="D24"/>
  <c r="C24"/>
  <c r="B24"/>
  <c r="D23"/>
  <c r="C23"/>
  <c r="D22"/>
  <c r="C22"/>
  <c r="D21"/>
  <c r="C21"/>
  <c r="D18"/>
  <c r="C18"/>
  <c r="D17"/>
  <c r="C17"/>
  <c r="D16"/>
  <c r="C16"/>
  <c r="B16"/>
  <c r="D15"/>
  <c r="C15"/>
  <c r="B15"/>
  <c r="D14"/>
  <c r="C14"/>
  <c r="B14"/>
  <c r="D11"/>
  <c r="C11"/>
  <c r="D10"/>
  <c r="C10"/>
  <c r="D9"/>
  <c r="C9"/>
  <c r="B9"/>
  <c r="D7"/>
  <c r="C7"/>
  <c r="D6"/>
  <c r="C6"/>
  <c r="D5"/>
  <c r="C5"/>
  <c r="B5"/>
  <c r="I6" i="4" l="1"/>
  <c r="J5"/>
  <c r="I5" s="1"/>
  <c r="C18" i="5"/>
  <c r="C14" s="1"/>
  <c r="C22" s="1"/>
  <c r="C23" s="1"/>
  <c r="F44" i="4"/>
  <c r="M18" i="9"/>
  <c r="J44" i="4" s="1"/>
  <c r="D18" i="5" s="1"/>
  <c r="M20" i="9"/>
  <c r="G55" i="4"/>
  <c r="F55" s="1"/>
  <c r="F12"/>
  <c r="C12"/>
  <c r="D33" i="8"/>
  <c r="D32"/>
  <c r="C33"/>
  <c r="C26"/>
  <c r="C15" i="5"/>
  <c r="F5" i="4"/>
  <c r="D15" i="5"/>
  <c r="D55" i="4"/>
  <c r="D12" i="8"/>
  <c r="I44" i="4"/>
  <c r="H19" i="9"/>
  <c r="H20"/>
  <c r="C44" i="4"/>
  <c r="C55" s="1"/>
  <c r="E55"/>
  <c r="L9" i="9"/>
  <c r="L3" s="1"/>
  <c r="D23" i="8"/>
  <c r="B12"/>
  <c r="C22"/>
  <c r="C23" s="1"/>
  <c r="B23"/>
  <c r="C5"/>
  <c r="C12" s="1"/>
  <c r="B55" i="4"/>
  <c r="B14" i="5"/>
  <c r="B22" s="1"/>
  <c r="B23" s="1"/>
  <c r="B24" s="1"/>
  <c r="C34" i="8" l="1"/>
  <c r="D34"/>
  <c r="J31" i="4"/>
  <c r="I31" s="1"/>
  <c r="B35" i="8"/>
  <c r="J30" i="4"/>
  <c r="C32" i="8"/>
  <c r="C25" i="5"/>
  <c r="C24"/>
  <c r="B25"/>
  <c r="I30" i="4" l="1"/>
  <c r="J12"/>
  <c r="D16" i="5" l="1"/>
  <c r="D14" s="1"/>
  <c r="D22" s="1"/>
  <c r="D23" s="1"/>
  <c r="I12" i="4"/>
  <c r="J55"/>
  <c r="I55" s="1"/>
  <c r="D25" i="5" l="1"/>
  <c r="B27" s="1"/>
  <c r="D24"/>
  <c r="B26" s="1"/>
</calcChain>
</file>

<file path=xl/comments1.xml><?xml version="1.0" encoding="utf-8"?>
<comments xmlns="http://schemas.openxmlformats.org/spreadsheetml/2006/main">
  <authors>
    <author>Administrator</author>
  </authors>
  <commentList>
    <comment ref="A29" authorId="0">
      <text>
        <r>
          <rPr>
            <b/>
            <sz val="9"/>
            <rFont val="宋体"/>
            <family val="3"/>
            <charset val="134"/>
          </rPr>
          <t>Administrator:</t>
        </r>
        <r>
          <rPr>
            <sz val="9"/>
            <rFont val="宋体"/>
            <family val="3"/>
            <charset val="134"/>
          </rPr>
          <t xml:space="preserve">
净值</t>
        </r>
      </text>
    </comment>
  </commentList>
</comments>
</file>

<file path=xl/comments2.xml><?xml version="1.0" encoding="utf-8"?>
<comments xmlns="http://schemas.openxmlformats.org/spreadsheetml/2006/main">
  <authors>
    <author>Administrator</author>
  </authors>
  <commentList>
    <comment ref="A15" authorId="0">
      <text>
        <r>
          <rPr>
            <b/>
            <sz val="9"/>
            <rFont val="宋体"/>
            <family val="3"/>
            <charset val="134"/>
          </rPr>
          <t>Administrator:</t>
        </r>
        <r>
          <rPr>
            <sz val="9"/>
            <rFont val="宋体"/>
            <family val="3"/>
            <charset val="134"/>
          </rPr>
          <t xml:space="preserve">
长郡合作办学经费</t>
        </r>
      </text>
    </comment>
    <comment ref="A44" authorId="0">
      <text>
        <r>
          <rPr>
            <b/>
            <sz val="9"/>
            <rFont val="宋体"/>
            <family val="3"/>
            <charset val="134"/>
          </rPr>
          <t>Administrator:</t>
        </r>
        <r>
          <rPr>
            <sz val="9"/>
            <rFont val="宋体"/>
            <family val="3"/>
            <charset val="134"/>
          </rPr>
          <t xml:space="preserve">
本年度折旧数</t>
        </r>
      </text>
    </comment>
  </commentList>
</comments>
</file>

<file path=xl/sharedStrings.xml><?xml version="1.0" encoding="utf-8"?>
<sst xmlns="http://schemas.openxmlformats.org/spreadsheetml/2006/main" count="453" uniqueCount="304">
  <si>
    <t>民办中小学教育定价成本监审表</t>
  </si>
  <si>
    <t>（2019-2021年度）</t>
  </si>
  <si>
    <r>
      <rPr>
        <sz val="16"/>
        <rFont val="宋体"/>
        <family val="3"/>
        <charset val="134"/>
      </rPr>
      <t>学校名称</t>
    </r>
    <r>
      <rPr>
        <sz val="16"/>
        <rFont val="Times New Roman"/>
        <family val="1"/>
      </rPr>
      <t xml:space="preserve">  </t>
    </r>
    <r>
      <rPr>
        <sz val="16"/>
        <rFont val="宋体"/>
        <family val="3"/>
        <charset val="134"/>
      </rPr>
      <t>（公章）</t>
    </r>
  </si>
  <si>
    <t>祁阳市郡祁学校</t>
  </si>
  <si>
    <r>
      <rPr>
        <sz val="16"/>
        <rFont val="宋体"/>
        <family val="3"/>
        <charset val="134"/>
      </rPr>
      <t>法人代表</t>
    </r>
    <r>
      <rPr>
        <sz val="16"/>
        <rFont val="Times New Roman"/>
        <family val="1"/>
      </rPr>
      <t xml:space="preserve">  </t>
    </r>
  </si>
  <si>
    <t>周铁明</t>
  </si>
  <si>
    <r>
      <rPr>
        <sz val="16"/>
        <rFont val="宋体"/>
        <family val="3"/>
        <charset val="134"/>
      </rPr>
      <t>财务负责人</t>
    </r>
  </si>
  <si>
    <t>何哲军</t>
  </si>
  <si>
    <r>
      <rPr>
        <sz val="16"/>
        <rFont val="宋体"/>
        <family val="3"/>
        <charset val="134"/>
      </rPr>
      <t>填</t>
    </r>
    <r>
      <rPr>
        <sz val="16"/>
        <rFont val="Times New Roman"/>
        <family val="1"/>
      </rPr>
      <t xml:space="preserve"> </t>
    </r>
    <r>
      <rPr>
        <sz val="16"/>
        <rFont val="宋体"/>
        <family val="3"/>
        <charset val="134"/>
      </rPr>
      <t>表</t>
    </r>
    <r>
      <rPr>
        <sz val="16"/>
        <rFont val="Times New Roman"/>
        <family val="1"/>
      </rPr>
      <t xml:space="preserve"> </t>
    </r>
    <r>
      <rPr>
        <sz val="16"/>
        <rFont val="宋体"/>
        <family val="3"/>
        <charset val="134"/>
      </rPr>
      <t>人</t>
    </r>
    <r>
      <rPr>
        <sz val="16"/>
        <rFont val="Times New Roman"/>
        <family val="1"/>
      </rPr>
      <t xml:space="preserve">  </t>
    </r>
  </si>
  <si>
    <t>李欣</t>
  </si>
  <si>
    <r>
      <rPr>
        <sz val="16"/>
        <rFont val="宋体"/>
        <family val="3"/>
        <charset val="134"/>
      </rPr>
      <t>学校地址</t>
    </r>
  </si>
  <si>
    <t>祁阳市长虹街道栖霞路及人民西路交汇处</t>
  </si>
  <si>
    <r>
      <rPr>
        <sz val="16"/>
        <rFont val="宋体"/>
        <family val="3"/>
        <charset val="134"/>
      </rPr>
      <t>邮政编码</t>
    </r>
  </si>
  <si>
    <r>
      <rPr>
        <sz val="16"/>
        <rFont val="宋体"/>
        <family val="3"/>
        <charset val="134"/>
      </rPr>
      <t>电</t>
    </r>
    <r>
      <rPr>
        <sz val="16"/>
        <rFont val="Times New Roman"/>
        <family val="1"/>
      </rPr>
      <t xml:space="preserve">    </t>
    </r>
    <r>
      <rPr>
        <sz val="16"/>
        <rFont val="宋体"/>
        <family val="3"/>
        <charset val="134"/>
      </rPr>
      <t>话</t>
    </r>
  </si>
  <si>
    <t>0746-3226677</t>
  </si>
  <si>
    <r>
      <rPr>
        <sz val="16"/>
        <rFont val="宋体"/>
        <family val="3"/>
        <charset val="134"/>
      </rPr>
      <t>日</t>
    </r>
    <r>
      <rPr>
        <sz val="16"/>
        <rFont val="Times New Roman"/>
        <family val="1"/>
      </rPr>
      <t xml:space="preserve">    </t>
    </r>
    <r>
      <rPr>
        <sz val="16"/>
        <rFont val="宋体"/>
        <family val="3"/>
        <charset val="134"/>
      </rPr>
      <t>期</t>
    </r>
  </si>
  <si>
    <r>
      <rPr>
        <sz val="16"/>
        <rFont val="黑体"/>
        <family val="3"/>
        <charset val="134"/>
      </rPr>
      <t>表</t>
    </r>
    <r>
      <rPr>
        <sz val="16"/>
        <rFont val="Times New Roman"/>
        <family val="1"/>
      </rPr>
      <t>1</t>
    </r>
  </si>
  <si>
    <t>学校类别：</t>
  </si>
  <si>
    <r>
      <rPr>
        <b/>
        <sz val="12"/>
        <color indexed="8"/>
        <rFont val="宋体"/>
        <family val="3"/>
        <charset val="134"/>
      </rPr>
      <t>项　　目</t>
    </r>
  </si>
  <si>
    <r>
      <rPr>
        <b/>
        <sz val="12"/>
        <color indexed="8"/>
        <rFont val="Times New Roman"/>
        <family val="1"/>
      </rPr>
      <t>2019</t>
    </r>
    <r>
      <rPr>
        <b/>
        <sz val="12"/>
        <color indexed="8"/>
        <rFont val="宋体"/>
        <family val="3"/>
        <charset val="134"/>
      </rPr>
      <t>年</t>
    </r>
  </si>
  <si>
    <r>
      <rPr>
        <b/>
        <sz val="12"/>
        <rFont val="Times New Roman"/>
        <family val="1"/>
      </rPr>
      <t>2020</t>
    </r>
    <r>
      <rPr>
        <b/>
        <sz val="12"/>
        <rFont val="宋体"/>
        <family val="3"/>
        <charset val="134"/>
      </rPr>
      <t>年</t>
    </r>
  </si>
  <si>
    <r>
      <rPr>
        <b/>
        <sz val="12"/>
        <rFont val="Times New Roman"/>
        <family val="1"/>
      </rPr>
      <t>2021</t>
    </r>
    <r>
      <rPr>
        <b/>
        <sz val="12"/>
        <rFont val="宋体"/>
        <family val="3"/>
        <charset val="134"/>
      </rPr>
      <t>年</t>
    </r>
  </si>
  <si>
    <r>
      <rPr>
        <b/>
        <sz val="12"/>
        <rFont val="宋体"/>
        <family val="3"/>
        <charset val="134"/>
      </rPr>
      <t>备注</t>
    </r>
  </si>
  <si>
    <r>
      <rPr>
        <b/>
        <sz val="12"/>
        <color indexed="8"/>
        <rFont val="宋体"/>
        <family val="3"/>
        <charset val="134"/>
      </rPr>
      <t>一、班级（个）</t>
    </r>
  </si>
  <si>
    <r>
      <rPr>
        <sz val="12"/>
        <rFont val="宋体"/>
        <family val="3"/>
        <charset val="134"/>
      </rPr>
      <t>数据来源于学生人数统计表（底稿）</t>
    </r>
  </si>
  <si>
    <r>
      <rPr>
        <sz val="12"/>
        <color indexed="8"/>
        <rFont val="宋体"/>
        <family val="3"/>
        <charset val="134"/>
      </rPr>
      <t>　　小学部</t>
    </r>
  </si>
  <si>
    <r>
      <rPr>
        <sz val="12"/>
        <color indexed="8"/>
        <rFont val="宋体"/>
        <family val="3"/>
        <charset val="134"/>
      </rPr>
      <t>　　初中部</t>
    </r>
  </si>
  <si>
    <r>
      <rPr>
        <sz val="12"/>
        <color rgb="FF000000"/>
        <rFont val="Times New Roman"/>
        <family val="1"/>
      </rPr>
      <t xml:space="preserve">       </t>
    </r>
    <r>
      <rPr>
        <sz val="12"/>
        <color indexed="8"/>
        <rFont val="宋体"/>
        <family val="3"/>
        <charset val="134"/>
      </rPr>
      <t>高中部</t>
    </r>
  </si>
  <si>
    <r>
      <rPr>
        <b/>
        <sz val="12"/>
        <color indexed="8"/>
        <rFont val="宋体"/>
        <family val="3"/>
        <charset val="134"/>
      </rPr>
      <t>二、学生总数（人）</t>
    </r>
  </si>
  <si>
    <r>
      <rPr>
        <sz val="12"/>
        <color rgb="FF000000"/>
        <rFont val="Times New Roman"/>
        <family val="1"/>
      </rPr>
      <t xml:space="preserve">        </t>
    </r>
    <r>
      <rPr>
        <sz val="12"/>
        <color indexed="8"/>
        <rFont val="宋体"/>
        <family val="3"/>
        <charset val="134"/>
      </rPr>
      <t>高中部</t>
    </r>
  </si>
  <si>
    <r>
      <rPr>
        <b/>
        <sz val="12"/>
        <rFont val="宋体"/>
        <family val="3"/>
        <charset val="134"/>
      </rPr>
      <t>三、标准学生总人数（人）</t>
    </r>
  </si>
  <si>
    <r>
      <rPr>
        <b/>
        <sz val="12"/>
        <color indexed="8"/>
        <rFont val="宋体"/>
        <family val="3"/>
        <charset val="134"/>
      </rPr>
      <t>四、教职工人数</t>
    </r>
  </si>
  <si>
    <r>
      <rPr>
        <sz val="12"/>
        <rFont val="宋体"/>
        <family val="3"/>
        <charset val="134"/>
      </rPr>
      <t>数据来源于教职工人数统计表（底稿）</t>
    </r>
  </si>
  <si>
    <r>
      <rPr>
        <sz val="12"/>
        <rFont val="宋体"/>
        <family val="3"/>
        <charset val="134"/>
      </rPr>
      <t>（一）在职教职工人数</t>
    </r>
  </si>
  <si>
    <r>
      <rPr>
        <sz val="12"/>
        <rFont val="Times New Roman"/>
        <family val="1"/>
      </rPr>
      <t>1</t>
    </r>
    <r>
      <rPr>
        <sz val="12"/>
        <rFont val="宋体"/>
        <family val="3"/>
        <charset val="134"/>
      </rPr>
      <t>、教学人员</t>
    </r>
  </si>
  <si>
    <r>
      <rPr>
        <sz val="12"/>
        <color rgb="FF000000"/>
        <rFont val="Times New Roman"/>
        <family val="1"/>
      </rPr>
      <t xml:space="preserve">              </t>
    </r>
    <r>
      <rPr>
        <sz val="12"/>
        <color indexed="8"/>
        <rFont val="宋体"/>
        <family val="3"/>
        <charset val="134"/>
      </rPr>
      <t>小学部</t>
    </r>
  </si>
  <si>
    <r>
      <rPr>
        <sz val="12"/>
        <color rgb="FF000000"/>
        <rFont val="Times New Roman"/>
        <family val="1"/>
      </rPr>
      <t xml:space="preserve">             </t>
    </r>
    <r>
      <rPr>
        <sz val="12"/>
        <color indexed="8"/>
        <rFont val="宋体"/>
        <family val="3"/>
        <charset val="134"/>
      </rPr>
      <t>初中部</t>
    </r>
  </si>
  <si>
    <r>
      <rPr>
        <sz val="12"/>
        <color rgb="FF000000"/>
        <rFont val="Times New Roman"/>
        <family val="1"/>
      </rPr>
      <t xml:space="preserve">             </t>
    </r>
    <r>
      <rPr>
        <sz val="12"/>
        <color indexed="8"/>
        <rFont val="宋体"/>
        <family val="3"/>
        <charset val="134"/>
      </rPr>
      <t>高中部</t>
    </r>
  </si>
  <si>
    <t xml:space="preserve">    其中：外籍老师人数</t>
  </si>
  <si>
    <r>
      <rPr>
        <sz val="12"/>
        <rFont val="Times New Roman"/>
        <family val="1"/>
      </rPr>
      <t>2</t>
    </r>
    <r>
      <rPr>
        <sz val="12"/>
        <rFont val="宋体"/>
        <family val="3"/>
        <charset val="134"/>
      </rPr>
      <t>、教学辅助人员</t>
    </r>
  </si>
  <si>
    <r>
      <rPr>
        <sz val="12"/>
        <rFont val="Times New Roman"/>
        <family val="1"/>
      </rPr>
      <t>3</t>
    </r>
    <r>
      <rPr>
        <sz val="12"/>
        <rFont val="宋体"/>
        <family val="3"/>
        <charset val="134"/>
      </rPr>
      <t>、行政管理人员</t>
    </r>
  </si>
  <si>
    <r>
      <rPr>
        <sz val="12"/>
        <rFont val="Times New Roman"/>
        <family val="1"/>
      </rPr>
      <t>4</t>
    </r>
    <r>
      <rPr>
        <sz val="12"/>
        <rFont val="宋体"/>
        <family val="3"/>
        <charset val="134"/>
      </rPr>
      <t>、后勤工作人员</t>
    </r>
  </si>
  <si>
    <r>
      <rPr>
        <sz val="12"/>
        <rFont val="宋体"/>
        <family val="3"/>
        <charset val="134"/>
      </rPr>
      <t>（二）其他人员</t>
    </r>
  </si>
  <si>
    <r>
      <rPr>
        <sz val="12"/>
        <rFont val="Times New Roman"/>
        <family val="1"/>
      </rPr>
      <t xml:space="preserve">    1</t>
    </r>
    <r>
      <rPr>
        <sz val="12"/>
        <rFont val="宋体"/>
        <family val="3"/>
        <charset val="134"/>
      </rPr>
      <t>、短期聘用人员</t>
    </r>
  </si>
  <si>
    <r>
      <rPr>
        <sz val="12"/>
        <rFont val="Times New Roman"/>
        <family val="1"/>
      </rPr>
      <t xml:space="preserve">    2</t>
    </r>
    <r>
      <rPr>
        <sz val="12"/>
        <rFont val="宋体"/>
        <family val="3"/>
        <charset val="134"/>
      </rPr>
      <t>、离退休人员</t>
    </r>
  </si>
  <si>
    <r>
      <rPr>
        <sz val="12"/>
        <rFont val="Times New Roman"/>
        <family val="1"/>
      </rPr>
      <t xml:space="preserve">    3</t>
    </r>
    <r>
      <rPr>
        <sz val="12"/>
        <rFont val="宋体"/>
        <family val="3"/>
        <charset val="134"/>
      </rPr>
      <t>、劳务派遣人员</t>
    </r>
  </si>
  <si>
    <r>
      <rPr>
        <sz val="12"/>
        <rFont val="Times New Roman"/>
        <family val="1"/>
      </rPr>
      <t xml:space="preserve">    4</t>
    </r>
    <r>
      <rPr>
        <sz val="12"/>
        <rFont val="宋体"/>
        <family val="3"/>
        <charset val="134"/>
      </rPr>
      <t>、其他临时人员</t>
    </r>
  </si>
  <si>
    <r>
      <rPr>
        <b/>
        <sz val="12"/>
        <rFont val="宋体"/>
        <family val="3"/>
        <charset val="134"/>
      </rPr>
      <t>五、固定资产年末总值（元）</t>
    </r>
  </si>
  <si>
    <r>
      <rPr>
        <sz val="12"/>
        <rFont val="Times New Roman"/>
        <family val="1"/>
      </rPr>
      <t xml:space="preserve">  1.</t>
    </r>
    <r>
      <rPr>
        <sz val="12"/>
        <rFont val="宋体"/>
        <family val="3"/>
        <charset val="134"/>
      </rPr>
      <t>房屋及构筑物</t>
    </r>
  </si>
  <si>
    <r>
      <rPr>
        <sz val="12"/>
        <rFont val="Times New Roman"/>
        <family val="1"/>
      </rPr>
      <t xml:space="preserve">  2.</t>
    </r>
    <r>
      <rPr>
        <sz val="12"/>
        <rFont val="宋体"/>
        <family val="3"/>
        <charset val="134"/>
      </rPr>
      <t>通用设备</t>
    </r>
  </si>
  <si>
    <r>
      <rPr>
        <sz val="12"/>
        <rFont val="Times New Roman"/>
        <family val="1"/>
      </rPr>
      <t xml:space="preserve">  3.</t>
    </r>
    <r>
      <rPr>
        <sz val="12"/>
        <rFont val="宋体"/>
        <family val="3"/>
        <charset val="134"/>
      </rPr>
      <t>专用设备</t>
    </r>
  </si>
  <si>
    <r>
      <rPr>
        <sz val="12"/>
        <rFont val="Times New Roman"/>
        <family val="1"/>
      </rPr>
      <t xml:space="preserve">  4.</t>
    </r>
    <r>
      <rPr>
        <sz val="12"/>
        <rFont val="宋体"/>
        <family val="3"/>
        <charset val="134"/>
      </rPr>
      <t>家具、用具及装具</t>
    </r>
  </si>
  <si>
    <r>
      <rPr>
        <sz val="12"/>
        <color rgb="FF000000"/>
        <rFont val="Times New Roman"/>
        <family val="1"/>
      </rPr>
      <t xml:space="preserve">      5.</t>
    </r>
    <r>
      <rPr>
        <sz val="12"/>
        <color indexed="8"/>
        <rFont val="宋体"/>
        <family val="3"/>
        <charset val="134"/>
      </rPr>
      <t>其他固定资产</t>
    </r>
  </si>
  <si>
    <r>
      <rPr>
        <sz val="16"/>
        <rFont val="黑体"/>
        <family val="3"/>
        <charset val="134"/>
      </rPr>
      <t>表</t>
    </r>
    <r>
      <rPr>
        <sz val="16"/>
        <rFont val="Times New Roman"/>
        <family val="1"/>
      </rPr>
      <t>2</t>
    </r>
  </si>
  <si>
    <t xml:space="preserve">                               </t>
  </si>
  <si>
    <t>项      目</t>
  </si>
  <si>
    <t>2019年</t>
  </si>
  <si>
    <t>2020年</t>
  </si>
  <si>
    <t>2021年</t>
  </si>
  <si>
    <t>一、财政补助收入（元）</t>
  </si>
  <si>
    <t>（一）教育经费拨款</t>
  </si>
  <si>
    <t>其中：离退休人员拨款</t>
  </si>
  <si>
    <t>（二）科研经费拨款</t>
  </si>
  <si>
    <t>（三）其他</t>
  </si>
  <si>
    <t>二、上级补助收入（元）</t>
  </si>
  <si>
    <t>三、事业收入（元）</t>
  </si>
  <si>
    <t>（一）教育事业收入</t>
  </si>
  <si>
    <t>1、学费收入</t>
  </si>
  <si>
    <t>(1)小学生</t>
  </si>
  <si>
    <t>(2)初中生</t>
  </si>
  <si>
    <t>(3)高中生</t>
  </si>
  <si>
    <t>(4)其他</t>
  </si>
  <si>
    <t>2、住宿费收入</t>
  </si>
  <si>
    <t>3、服务费收入</t>
  </si>
  <si>
    <t>4、其他</t>
  </si>
  <si>
    <r>
      <rPr>
        <sz val="16"/>
        <rFont val="黑体"/>
        <family val="3"/>
        <charset val="134"/>
      </rPr>
      <t>表</t>
    </r>
    <r>
      <rPr>
        <sz val="16"/>
        <rFont val="Times New Roman"/>
        <family val="1"/>
      </rPr>
      <t>3</t>
    </r>
  </si>
  <si>
    <t>单位：元</t>
  </si>
  <si>
    <r>
      <rPr>
        <b/>
        <sz val="12"/>
        <rFont val="宋体"/>
        <family val="3"/>
        <charset val="134"/>
      </rPr>
      <t>项</t>
    </r>
    <r>
      <rPr>
        <b/>
        <sz val="12"/>
        <rFont val="Times New Roman"/>
        <family val="1"/>
      </rPr>
      <t xml:space="preserve">  </t>
    </r>
    <r>
      <rPr>
        <b/>
        <sz val="12"/>
        <rFont val="宋体"/>
        <family val="3"/>
        <charset val="134"/>
      </rPr>
      <t>目</t>
    </r>
  </si>
  <si>
    <r>
      <rPr>
        <b/>
        <sz val="12"/>
        <rFont val="Times New Roman"/>
        <family val="1"/>
      </rPr>
      <t>2019</t>
    </r>
    <r>
      <rPr>
        <b/>
        <sz val="12"/>
        <rFont val="宋体"/>
        <family val="3"/>
        <charset val="134"/>
      </rPr>
      <t>年上报数</t>
    </r>
  </si>
  <si>
    <t>核增（减）</t>
  </si>
  <si>
    <r>
      <rPr>
        <b/>
        <sz val="12"/>
        <color rgb="FFFF0000"/>
        <rFont val="Times New Roman"/>
        <family val="1"/>
      </rPr>
      <t>2019</t>
    </r>
    <r>
      <rPr>
        <b/>
        <sz val="12"/>
        <color rgb="FFFF0000"/>
        <rFont val="宋体"/>
        <family val="3"/>
        <charset val="134"/>
      </rPr>
      <t>年核定数</t>
    </r>
  </si>
  <si>
    <r>
      <rPr>
        <b/>
        <sz val="12"/>
        <rFont val="Times New Roman"/>
        <family val="1"/>
      </rPr>
      <t>2020</t>
    </r>
    <r>
      <rPr>
        <b/>
        <sz val="12"/>
        <rFont val="宋体"/>
        <family val="3"/>
        <charset val="134"/>
      </rPr>
      <t>年上报数</t>
    </r>
  </si>
  <si>
    <r>
      <rPr>
        <b/>
        <sz val="12"/>
        <color rgb="FFFF0000"/>
        <rFont val="Times New Roman"/>
        <family val="1"/>
      </rPr>
      <t>2020</t>
    </r>
    <r>
      <rPr>
        <b/>
        <sz val="12"/>
        <color rgb="FFFF0000"/>
        <rFont val="宋体"/>
        <family val="3"/>
        <charset val="134"/>
      </rPr>
      <t>年核定数</t>
    </r>
  </si>
  <si>
    <r>
      <rPr>
        <b/>
        <sz val="12"/>
        <rFont val="Times New Roman"/>
        <family val="1"/>
      </rPr>
      <t>2021</t>
    </r>
    <r>
      <rPr>
        <b/>
        <sz val="12"/>
        <rFont val="宋体"/>
        <family val="3"/>
        <charset val="134"/>
      </rPr>
      <t>年上报数</t>
    </r>
  </si>
  <si>
    <r>
      <rPr>
        <b/>
        <sz val="12"/>
        <color rgb="FFFF0000"/>
        <rFont val="Times New Roman"/>
        <family val="1"/>
      </rPr>
      <t>2021</t>
    </r>
    <r>
      <rPr>
        <b/>
        <sz val="12"/>
        <color rgb="FFFF0000"/>
        <rFont val="宋体"/>
        <family val="3"/>
        <charset val="134"/>
      </rPr>
      <t>年核定数</t>
    </r>
  </si>
  <si>
    <r>
      <rPr>
        <b/>
        <sz val="12"/>
        <rFont val="宋体"/>
        <family val="3"/>
        <charset val="134"/>
      </rPr>
      <t>一、工资福利支出</t>
    </r>
  </si>
  <si>
    <r>
      <rPr>
        <sz val="12"/>
        <rFont val="Times New Roman"/>
        <family val="1"/>
      </rPr>
      <t xml:space="preserve">  3.</t>
    </r>
    <r>
      <rPr>
        <sz val="12"/>
        <rFont val="宋体"/>
        <family val="3"/>
        <charset val="134"/>
      </rPr>
      <t>奖金</t>
    </r>
  </si>
  <si>
    <r>
      <rPr>
        <sz val="12"/>
        <rFont val="Times New Roman"/>
        <family val="1"/>
      </rPr>
      <t xml:space="preserve">  4.</t>
    </r>
    <r>
      <rPr>
        <sz val="12"/>
        <rFont val="宋体"/>
        <family val="3"/>
        <charset val="134"/>
      </rPr>
      <t>社会保险费</t>
    </r>
  </si>
  <si>
    <r>
      <rPr>
        <sz val="12"/>
        <rFont val="Times New Roman"/>
        <family val="1"/>
      </rPr>
      <t xml:space="preserve">  5.</t>
    </r>
    <r>
      <rPr>
        <sz val="12"/>
        <rFont val="宋体"/>
        <family val="3"/>
        <charset val="134"/>
      </rPr>
      <t>住房公积金</t>
    </r>
  </si>
  <si>
    <r>
      <rPr>
        <sz val="12"/>
        <rFont val="Times New Roman"/>
        <family val="1"/>
      </rPr>
      <t xml:space="preserve">  6.</t>
    </r>
    <r>
      <rPr>
        <sz val="12"/>
        <rFont val="宋体"/>
        <family val="3"/>
        <charset val="134"/>
      </rPr>
      <t>其他</t>
    </r>
  </si>
  <si>
    <r>
      <rPr>
        <b/>
        <sz val="12"/>
        <rFont val="宋体"/>
        <family val="3"/>
        <charset val="134"/>
      </rPr>
      <t>二、商品和服务支出</t>
    </r>
  </si>
  <si>
    <r>
      <rPr>
        <sz val="12"/>
        <color indexed="8"/>
        <rFont val="Times New Roman"/>
        <family val="1"/>
      </rPr>
      <t xml:space="preserve">    1.</t>
    </r>
    <r>
      <rPr>
        <sz val="12"/>
        <color indexed="8"/>
        <rFont val="宋体"/>
        <family val="3"/>
        <charset val="134"/>
      </rPr>
      <t>办公费</t>
    </r>
  </si>
  <si>
    <r>
      <rPr>
        <sz val="12"/>
        <color indexed="8"/>
        <rFont val="Times New Roman"/>
        <family val="1"/>
      </rPr>
      <t xml:space="preserve">    2.</t>
    </r>
    <r>
      <rPr>
        <sz val="12"/>
        <color indexed="8"/>
        <rFont val="宋体"/>
        <family val="3"/>
        <charset val="134"/>
      </rPr>
      <t>印刷费</t>
    </r>
  </si>
  <si>
    <r>
      <rPr>
        <sz val="12"/>
        <color indexed="8"/>
        <rFont val="Times New Roman"/>
        <family val="1"/>
      </rPr>
      <t xml:space="preserve">    3.</t>
    </r>
    <r>
      <rPr>
        <sz val="12"/>
        <color indexed="8"/>
        <rFont val="宋体"/>
        <family val="3"/>
        <charset val="134"/>
      </rPr>
      <t>咨询费</t>
    </r>
  </si>
  <si>
    <r>
      <rPr>
        <sz val="12"/>
        <color indexed="8"/>
        <rFont val="Times New Roman"/>
        <family val="1"/>
      </rPr>
      <t xml:space="preserve">    4.</t>
    </r>
    <r>
      <rPr>
        <sz val="12"/>
        <color indexed="8"/>
        <rFont val="宋体"/>
        <family val="3"/>
        <charset val="134"/>
      </rPr>
      <t>手续费</t>
    </r>
  </si>
  <si>
    <r>
      <rPr>
        <sz val="12"/>
        <color indexed="8"/>
        <rFont val="Times New Roman"/>
        <family val="1"/>
      </rPr>
      <t xml:space="preserve">    5.</t>
    </r>
    <r>
      <rPr>
        <sz val="12"/>
        <color indexed="8"/>
        <rFont val="宋体"/>
        <family val="3"/>
        <charset val="134"/>
      </rPr>
      <t>水费</t>
    </r>
  </si>
  <si>
    <r>
      <rPr>
        <sz val="12"/>
        <color indexed="8"/>
        <rFont val="Times New Roman"/>
        <family val="1"/>
      </rPr>
      <t xml:space="preserve">    6.</t>
    </r>
    <r>
      <rPr>
        <sz val="12"/>
        <color indexed="8"/>
        <rFont val="宋体"/>
        <family val="3"/>
        <charset val="134"/>
      </rPr>
      <t>电费</t>
    </r>
  </si>
  <si>
    <r>
      <rPr>
        <sz val="12"/>
        <color indexed="8"/>
        <rFont val="Times New Roman"/>
        <family val="1"/>
      </rPr>
      <t xml:space="preserve">    7.</t>
    </r>
    <r>
      <rPr>
        <sz val="12"/>
        <color indexed="8"/>
        <rFont val="宋体"/>
        <family val="3"/>
        <charset val="134"/>
      </rPr>
      <t>邮电费</t>
    </r>
  </si>
  <si>
    <r>
      <rPr>
        <sz val="12"/>
        <color indexed="8"/>
        <rFont val="Times New Roman"/>
        <family val="1"/>
      </rPr>
      <t xml:space="preserve">    9.</t>
    </r>
    <r>
      <rPr>
        <sz val="12"/>
        <color indexed="8"/>
        <rFont val="宋体"/>
        <family val="3"/>
        <charset val="134"/>
      </rPr>
      <t>差旅费</t>
    </r>
  </si>
  <si>
    <r>
      <rPr>
        <sz val="12"/>
        <color indexed="8"/>
        <rFont val="Times New Roman"/>
        <family val="1"/>
      </rPr>
      <t xml:space="preserve">    11.</t>
    </r>
    <r>
      <rPr>
        <sz val="12"/>
        <color indexed="8"/>
        <rFont val="宋体"/>
        <family val="3"/>
        <charset val="134"/>
      </rPr>
      <t>维修（护）费</t>
    </r>
  </si>
  <si>
    <r>
      <rPr>
        <sz val="12"/>
        <color indexed="8"/>
        <rFont val="Times New Roman"/>
        <family val="1"/>
      </rPr>
      <t xml:space="preserve">    12.</t>
    </r>
    <r>
      <rPr>
        <sz val="12"/>
        <color indexed="8"/>
        <rFont val="宋体"/>
        <family val="3"/>
        <charset val="134"/>
      </rPr>
      <t>租赁费</t>
    </r>
  </si>
  <si>
    <r>
      <rPr>
        <sz val="12"/>
        <color indexed="8"/>
        <rFont val="Times New Roman"/>
        <family val="1"/>
      </rPr>
      <t xml:space="preserve">    13.</t>
    </r>
    <r>
      <rPr>
        <sz val="12"/>
        <color indexed="8"/>
        <rFont val="宋体"/>
        <family val="3"/>
        <charset val="134"/>
      </rPr>
      <t>会议费</t>
    </r>
  </si>
  <si>
    <r>
      <rPr>
        <sz val="12"/>
        <color indexed="8"/>
        <rFont val="Times New Roman"/>
        <family val="1"/>
      </rPr>
      <t xml:space="preserve">    14.</t>
    </r>
    <r>
      <rPr>
        <sz val="12"/>
        <color indexed="8"/>
        <rFont val="宋体"/>
        <family val="3"/>
        <charset val="134"/>
      </rPr>
      <t>培训费</t>
    </r>
  </si>
  <si>
    <r>
      <rPr>
        <sz val="12"/>
        <color indexed="8"/>
        <rFont val="Times New Roman"/>
        <family val="1"/>
      </rPr>
      <t xml:space="preserve">    15.</t>
    </r>
    <r>
      <rPr>
        <sz val="12"/>
        <color indexed="8"/>
        <rFont val="宋体"/>
        <family val="3"/>
        <charset val="134"/>
      </rPr>
      <t>公务接待费</t>
    </r>
  </si>
  <si>
    <r>
      <rPr>
        <sz val="12"/>
        <color indexed="8"/>
        <rFont val="Times New Roman"/>
        <family val="1"/>
      </rPr>
      <t xml:space="preserve">    16.</t>
    </r>
    <r>
      <rPr>
        <sz val="12"/>
        <color indexed="8"/>
        <rFont val="宋体"/>
        <family val="3"/>
        <charset val="134"/>
      </rPr>
      <t>专用材料费</t>
    </r>
  </si>
  <si>
    <r>
      <rPr>
        <sz val="12"/>
        <color indexed="8"/>
        <rFont val="Times New Roman"/>
        <family val="1"/>
      </rPr>
      <t xml:space="preserve">    17.</t>
    </r>
    <r>
      <rPr>
        <sz val="12"/>
        <color indexed="8"/>
        <rFont val="宋体"/>
        <family val="3"/>
        <charset val="134"/>
      </rPr>
      <t>劳务费</t>
    </r>
  </si>
  <si>
    <r>
      <rPr>
        <sz val="12"/>
        <color indexed="8"/>
        <rFont val="Times New Roman"/>
        <family val="1"/>
      </rPr>
      <t xml:space="preserve">    19.</t>
    </r>
    <r>
      <rPr>
        <sz val="12"/>
        <color indexed="8"/>
        <rFont val="宋体"/>
        <family val="3"/>
        <charset val="134"/>
      </rPr>
      <t>工会经费</t>
    </r>
  </si>
  <si>
    <r>
      <rPr>
        <sz val="12"/>
        <color indexed="8"/>
        <rFont val="Times New Roman"/>
        <family val="1"/>
      </rPr>
      <t xml:space="preserve">    20.</t>
    </r>
    <r>
      <rPr>
        <sz val="12"/>
        <color indexed="8"/>
        <rFont val="宋体"/>
        <family val="3"/>
        <charset val="134"/>
      </rPr>
      <t>福利费</t>
    </r>
  </si>
  <si>
    <r>
      <rPr>
        <sz val="12"/>
        <color indexed="8"/>
        <rFont val="Times New Roman"/>
        <family val="1"/>
      </rPr>
      <t xml:space="preserve">    21.</t>
    </r>
    <r>
      <rPr>
        <sz val="12"/>
        <color indexed="8"/>
        <rFont val="宋体"/>
        <family val="3"/>
        <charset val="134"/>
      </rPr>
      <t>车辆运行维护费</t>
    </r>
  </si>
  <si>
    <r>
      <rPr>
        <sz val="12"/>
        <color indexed="8"/>
        <rFont val="Times New Roman"/>
        <family val="1"/>
      </rPr>
      <t xml:space="preserve">    22.</t>
    </r>
    <r>
      <rPr>
        <sz val="12"/>
        <color indexed="8"/>
        <rFont val="宋体"/>
        <family val="3"/>
        <charset val="134"/>
      </rPr>
      <t>其他交通费用</t>
    </r>
  </si>
  <si>
    <r>
      <rPr>
        <sz val="12"/>
        <color indexed="8"/>
        <rFont val="Times New Roman"/>
        <family val="1"/>
      </rPr>
      <t xml:space="preserve">    23.</t>
    </r>
    <r>
      <rPr>
        <sz val="12"/>
        <color indexed="8"/>
        <rFont val="宋体"/>
        <family val="3"/>
        <charset val="134"/>
      </rPr>
      <t>税金及附加费用</t>
    </r>
  </si>
  <si>
    <r>
      <rPr>
        <sz val="12"/>
        <color indexed="8"/>
        <rFont val="Times New Roman"/>
        <family val="1"/>
      </rPr>
      <t xml:space="preserve">    24.</t>
    </r>
    <r>
      <rPr>
        <sz val="12"/>
        <color indexed="8"/>
        <rFont val="宋体"/>
        <family val="3"/>
        <charset val="134"/>
      </rPr>
      <t>其他商品和服务支出</t>
    </r>
  </si>
  <si>
    <r>
      <rPr>
        <b/>
        <sz val="12"/>
        <color indexed="8"/>
        <rFont val="宋体"/>
        <family val="3"/>
        <charset val="134"/>
      </rPr>
      <t>三、对个人和家庭的补助</t>
    </r>
  </si>
  <si>
    <r>
      <rPr>
        <sz val="12"/>
        <color indexed="8"/>
        <rFont val="Times New Roman"/>
        <family val="1"/>
      </rPr>
      <t xml:space="preserve">    1.</t>
    </r>
    <r>
      <rPr>
        <sz val="12"/>
        <color indexed="8"/>
        <rFont val="宋体"/>
        <family val="3"/>
        <charset val="134"/>
      </rPr>
      <t>离休费</t>
    </r>
  </si>
  <si>
    <r>
      <rPr>
        <sz val="12"/>
        <color indexed="8"/>
        <rFont val="Times New Roman"/>
        <family val="1"/>
      </rPr>
      <t xml:space="preserve">    2.</t>
    </r>
    <r>
      <rPr>
        <sz val="12"/>
        <color indexed="8"/>
        <rFont val="宋体"/>
        <family val="3"/>
        <charset val="134"/>
      </rPr>
      <t>抚恤金</t>
    </r>
  </si>
  <si>
    <r>
      <rPr>
        <sz val="12"/>
        <color indexed="8"/>
        <rFont val="Times New Roman"/>
        <family val="1"/>
      </rPr>
      <t xml:space="preserve">    3.</t>
    </r>
    <r>
      <rPr>
        <sz val="12"/>
        <color indexed="8"/>
        <rFont val="宋体"/>
        <family val="3"/>
        <charset val="134"/>
      </rPr>
      <t>生活补助</t>
    </r>
  </si>
  <si>
    <r>
      <rPr>
        <sz val="12"/>
        <color indexed="8"/>
        <rFont val="Times New Roman"/>
        <family val="1"/>
      </rPr>
      <t xml:space="preserve">    4.</t>
    </r>
    <r>
      <rPr>
        <sz val="12"/>
        <color indexed="8"/>
        <rFont val="宋体"/>
        <family val="3"/>
        <charset val="134"/>
      </rPr>
      <t>医疗费补助</t>
    </r>
  </si>
  <si>
    <r>
      <rPr>
        <sz val="12"/>
        <color indexed="8"/>
        <rFont val="Times New Roman"/>
        <family val="1"/>
      </rPr>
      <t xml:space="preserve">    5.</t>
    </r>
    <r>
      <rPr>
        <sz val="12"/>
        <color indexed="8"/>
        <rFont val="宋体"/>
        <family val="3"/>
        <charset val="134"/>
      </rPr>
      <t>助学金</t>
    </r>
  </si>
  <si>
    <r>
      <rPr>
        <sz val="12"/>
        <color indexed="8"/>
        <rFont val="Times New Roman"/>
        <family val="1"/>
      </rPr>
      <t xml:space="preserve">    6.</t>
    </r>
    <r>
      <rPr>
        <sz val="12"/>
        <color indexed="8"/>
        <rFont val="宋体"/>
        <family val="3"/>
        <charset val="134"/>
      </rPr>
      <t>其他对个人和家庭的补助支出</t>
    </r>
  </si>
  <si>
    <r>
      <rPr>
        <b/>
        <sz val="12"/>
        <rFont val="宋体"/>
        <family val="3"/>
        <charset val="134"/>
      </rPr>
      <t>四、固定资产折旧（元）</t>
    </r>
  </si>
  <si>
    <r>
      <rPr>
        <sz val="12"/>
        <color indexed="8"/>
        <rFont val="Times New Roman"/>
        <family val="1"/>
      </rPr>
      <t xml:space="preserve">    5.</t>
    </r>
    <r>
      <rPr>
        <sz val="12"/>
        <color indexed="8"/>
        <rFont val="宋体"/>
        <family val="3"/>
        <charset val="134"/>
      </rPr>
      <t>其他固定资产</t>
    </r>
  </si>
  <si>
    <r>
      <rPr>
        <b/>
        <sz val="12"/>
        <rFont val="宋体"/>
        <family val="3"/>
        <charset val="134"/>
      </rPr>
      <t>五、无形资产摊销</t>
    </r>
  </si>
  <si>
    <r>
      <rPr>
        <b/>
        <sz val="12"/>
        <rFont val="宋体"/>
        <family val="3"/>
        <charset val="134"/>
      </rPr>
      <t>六、财务费用</t>
    </r>
  </si>
  <si>
    <r>
      <rPr>
        <sz val="12"/>
        <rFont val="Times New Roman"/>
        <family val="1"/>
      </rPr>
      <t xml:space="preserve">    1.</t>
    </r>
    <r>
      <rPr>
        <sz val="12"/>
        <rFont val="宋体"/>
        <family val="3"/>
        <charset val="134"/>
      </rPr>
      <t>利息支出</t>
    </r>
  </si>
  <si>
    <r>
      <rPr>
        <sz val="12"/>
        <rFont val="Times New Roman"/>
        <family val="1"/>
      </rPr>
      <t xml:space="preserve">    2.</t>
    </r>
    <r>
      <rPr>
        <sz val="12"/>
        <rFont val="宋体"/>
        <family val="3"/>
        <charset val="134"/>
      </rPr>
      <t>利息收入</t>
    </r>
  </si>
  <si>
    <r>
      <rPr>
        <sz val="12"/>
        <rFont val="Times New Roman"/>
        <family val="1"/>
      </rPr>
      <t xml:space="preserve">    3.</t>
    </r>
    <r>
      <rPr>
        <sz val="12"/>
        <rFont val="宋体"/>
        <family val="3"/>
        <charset val="134"/>
      </rPr>
      <t>手续费</t>
    </r>
  </si>
  <si>
    <r>
      <rPr>
        <b/>
        <sz val="12"/>
        <rFont val="宋体"/>
        <family val="3"/>
        <charset val="134"/>
      </rPr>
      <t>七、学校总支出</t>
    </r>
  </si>
  <si>
    <r>
      <rPr>
        <sz val="16"/>
        <rFont val="黑体"/>
        <family val="3"/>
        <charset val="134"/>
      </rPr>
      <t>表</t>
    </r>
    <r>
      <rPr>
        <sz val="16"/>
        <rFont val="Times New Roman"/>
        <family val="1"/>
      </rPr>
      <t>4</t>
    </r>
  </si>
  <si>
    <t>项目　</t>
  </si>
  <si>
    <r>
      <rPr>
        <b/>
        <sz val="12"/>
        <rFont val="Times New Roman"/>
        <family val="1"/>
      </rPr>
      <t>2019</t>
    </r>
    <r>
      <rPr>
        <b/>
        <sz val="12"/>
        <rFont val="宋体"/>
        <family val="3"/>
        <charset val="134"/>
      </rPr>
      <t>年</t>
    </r>
  </si>
  <si>
    <r>
      <rPr>
        <b/>
        <sz val="12"/>
        <rFont val="宋体"/>
        <family val="3"/>
        <charset val="134"/>
      </rPr>
      <t>一、学校基本情况</t>
    </r>
    <r>
      <rPr>
        <b/>
        <sz val="12"/>
        <rFont val="Times New Roman"/>
        <family val="1"/>
      </rPr>
      <t xml:space="preserve"> </t>
    </r>
  </si>
  <si>
    <r>
      <rPr>
        <sz val="12"/>
        <rFont val="Times New Roman"/>
        <family val="1"/>
      </rPr>
      <t xml:space="preserve">    (</t>
    </r>
    <r>
      <rPr>
        <sz val="12"/>
        <rFont val="宋体"/>
        <family val="3"/>
        <charset val="134"/>
      </rPr>
      <t>一</t>
    </r>
    <r>
      <rPr>
        <sz val="12"/>
        <rFont val="Times New Roman"/>
        <family val="1"/>
      </rPr>
      <t xml:space="preserve">) </t>
    </r>
    <r>
      <rPr>
        <sz val="12"/>
        <rFont val="宋体"/>
        <family val="3"/>
        <charset val="134"/>
      </rPr>
      <t>标准学生人数</t>
    </r>
    <r>
      <rPr>
        <sz val="12"/>
        <rFont val="Times New Roman"/>
        <family val="1"/>
      </rPr>
      <t>(</t>
    </r>
    <r>
      <rPr>
        <sz val="12"/>
        <rFont val="宋体"/>
        <family val="3"/>
        <charset val="134"/>
      </rPr>
      <t>人</t>
    </r>
    <r>
      <rPr>
        <sz val="12"/>
        <rFont val="Times New Roman"/>
        <family val="1"/>
      </rPr>
      <t>)</t>
    </r>
  </si>
  <si>
    <r>
      <rPr>
        <sz val="12"/>
        <rFont val="Times New Roman"/>
        <family val="1"/>
      </rPr>
      <t xml:space="preserve">    (</t>
    </r>
    <r>
      <rPr>
        <sz val="12"/>
        <rFont val="宋体"/>
        <family val="3"/>
        <charset val="134"/>
      </rPr>
      <t>二</t>
    </r>
    <r>
      <rPr>
        <sz val="12"/>
        <rFont val="Times New Roman"/>
        <family val="1"/>
      </rPr>
      <t>)</t>
    </r>
    <r>
      <rPr>
        <sz val="12"/>
        <rFont val="宋体"/>
        <family val="3"/>
        <charset val="134"/>
      </rPr>
      <t>教职工总数</t>
    </r>
    <r>
      <rPr>
        <sz val="12"/>
        <rFont val="Times New Roman"/>
        <family val="1"/>
      </rPr>
      <t>(</t>
    </r>
    <r>
      <rPr>
        <sz val="12"/>
        <rFont val="宋体"/>
        <family val="3"/>
        <charset val="134"/>
      </rPr>
      <t>人</t>
    </r>
    <r>
      <rPr>
        <sz val="12"/>
        <rFont val="Times New Roman"/>
        <family val="1"/>
      </rPr>
      <t xml:space="preserve">) </t>
    </r>
    <r>
      <rPr>
        <sz val="12"/>
        <rFont val="宋体"/>
        <family val="3"/>
        <charset val="134"/>
      </rPr>
      <t>　　</t>
    </r>
    <r>
      <rPr>
        <sz val="12"/>
        <rFont val="Times New Roman"/>
        <family val="1"/>
      </rPr>
      <t xml:space="preserve"> </t>
    </r>
  </si>
  <si>
    <t>二、行政人员比例</t>
  </si>
  <si>
    <r>
      <rPr>
        <sz val="12"/>
        <rFont val="宋体"/>
        <family val="3"/>
        <charset val="134"/>
      </rPr>
      <t>行政管理人员占在职教职工总数的比重</t>
    </r>
    <r>
      <rPr>
        <sz val="12"/>
        <rFont val="Times New Roman"/>
        <family val="1"/>
      </rPr>
      <t xml:space="preserve"> (%)</t>
    </r>
  </si>
  <si>
    <t>三、师生比</t>
  </si>
  <si>
    <r>
      <rPr>
        <sz val="12"/>
        <rFont val="Times New Roman"/>
        <family val="1"/>
      </rPr>
      <t xml:space="preserve"> </t>
    </r>
    <r>
      <rPr>
        <sz val="12"/>
        <rFont val="宋体"/>
        <family val="3"/>
        <charset val="134"/>
      </rPr>
      <t>　　</t>
    </r>
    <r>
      <rPr>
        <sz val="12"/>
        <rFont val="Times New Roman"/>
        <family val="1"/>
      </rPr>
      <t>(</t>
    </r>
    <r>
      <rPr>
        <sz val="12"/>
        <rFont val="宋体"/>
        <family val="3"/>
        <charset val="134"/>
      </rPr>
      <t>一</t>
    </r>
    <r>
      <rPr>
        <sz val="12"/>
        <rFont val="Times New Roman"/>
        <family val="1"/>
      </rPr>
      <t>)</t>
    </r>
    <r>
      <rPr>
        <sz val="12"/>
        <rFont val="宋体"/>
        <family val="3"/>
        <charset val="134"/>
      </rPr>
      <t>小学师生比</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</si>
  <si>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二</t>
    </r>
    <r>
      <rPr>
        <sz val="12"/>
        <rFont val="Times New Roman"/>
        <family val="1"/>
      </rPr>
      <t>)</t>
    </r>
    <r>
      <rPr>
        <sz val="12"/>
        <rFont val="宋体"/>
        <family val="3"/>
        <charset val="134"/>
      </rPr>
      <t>初中师生比</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</si>
  <si>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三</t>
    </r>
    <r>
      <rPr>
        <sz val="12"/>
        <rFont val="Times New Roman"/>
        <family val="1"/>
      </rPr>
      <t>)</t>
    </r>
    <r>
      <rPr>
        <sz val="12"/>
        <rFont val="宋体"/>
        <family val="3"/>
        <charset val="134"/>
      </rPr>
      <t>高中师生比</t>
    </r>
  </si>
  <si>
    <r>
      <rPr>
        <b/>
        <sz val="12"/>
        <rFont val="宋体"/>
        <family val="3"/>
        <charset val="134"/>
      </rPr>
      <t>四、教育培养总成本</t>
    </r>
    <r>
      <rPr>
        <b/>
        <sz val="12"/>
        <rFont val="Times New Roman"/>
        <family val="1"/>
      </rPr>
      <t>(</t>
    </r>
    <r>
      <rPr>
        <b/>
        <sz val="12"/>
        <rFont val="宋体"/>
        <family val="3"/>
        <charset val="134"/>
      </rPr>
      <t>元</t>
    </r>
    <r>
      <rPr>
        <b/>
        <sz val="12"/>
        <rFont val="Times New Roman"/>
        <family val="1"/>
      </rPr>
      <t xml:space="preserve">)  </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</si>
  <si>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一</t>
    </r>
    <r>
      <rPr>
        <sz val="12"/>
        <rFont val="Times New Roman"/>
        <family val="1"/>
      </rPr>
      <t>)</t>
    </r>
    <r>
      <rPr>
        <sz val="12"/>
        <rFont val="宋体"/>
        <family val="3"/>
        <charset val="134"/>
      </rPr>
      <t>工资福利支出　　　</t>
    </r>
    <r>
      <rPr>
        <sz val="12"/>
        <rFont val="Times New Roman"/>
        <family val="1"/>
      </rPr>
      <t xml:space="preserve"> </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</si>
  <si>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二</t>
    </r>
    <r>
      <rPr>
        <sz val="12"/>
        <rFont val="Times New Roman"/>
        <family val="1"/>
      </rPr>
      <t>)</t>
    </r>
    <r>
      <rPr>
        <sz val="12"/>
        <rFont val="宋体"/>
        <family val="3"/>
        <charset val="134"/>
      </rPr>
      <t>商品和服务支出</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</si>
  <si>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三</t>
    </r>
    <r>
      <rPr>
        <sz val="12"/>
        <rFont val="Times New Roman"/>
        <family val="1"/>
      </rPr>
      <t>)</t>
    </r>
    <r>
      <rPr>
        <sz val="12"/>
        <rFont val="宋体"/>
        <family val="3"/>
        <charset val="134"/>
      </rPr>
      <t>对个人家庭补助支出　　</t>
    </r>
    <r>
      <rPr>
        <sz val="12"/>
        <rFont val="Times New Roman"/>
        <family val="1"/>
      </rPr>
      <t xml:space="preserve"> </t>
    </r>
    <r>
      <rPr>
        <sz val="12"/>
        <rFont val="宋体"/>
        <family val="3"/>
        <charset val="134"/>
      </rPr>
      <t>　　　　</t>
    </r>
    <r>
      <rPr>
        <sz val="12"/>
        <rFont val="Times New Roman"/>
        <family val="1"/>
      </rPr>
      <t xml:space="preserve"> </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</si>
  <si>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四</t>
    </r>
    <r>
      <rPr>
        <sz val="12"/>
        <rFont val="Times New Roman"/>
        <family val="1"/>
      </rPr>
      <t>)</t>
    </r>
    <r>
      <rPr>
        <sz val="12"/>
        <rFont val="宋体"/>
        <family val="3"/>
        <charset val="134"/>
      </rPr>
      <t>固定资产折旧</t>
    </r>
  </si>
  <si>
    <r>
      <rPr>
        <sz val="12"/>
        <rFont val="Times New Roman"/>
        <family val="1"/>
      </rPr>
      <t xml:space="preserve">       </t>
    </r>
    <r>
      <rPr>
        <sz val="12"/>
        <rFont val="宋体"/>
        <family val="3"/>
        <charset val="134"/>
      </rPr>
      <t>（五）无形资产摊销</t>
    </r>
  </si>
  <si>
    <r>
      <rPr>
        <sz val="12"/>
        <rFont val="Times New Roman"/>
        <family val="1"/>
      </rPr>
      <t xml:space="preserve">       </t>
    </r>
    <r>
      <rPr>
        <sz val="12"/>
        <rFont val="宋体"/>
        <family val="3"/>
        <charset val="134"/>
      </rPr>
      <t>（六）财务费用</t>
    </r>
  </si>
  <si>
    <t>五、应冲减成本的收入（元）</t>
  </si>
  <si>
    <r>
      <rPr>
        <b/>
        <sz val="12"/>
        <rFont val="宋体"/>
        <family val="3"/>
        <charset val="134"/>
      </rPr>
      <t>七、生均教育培养成本</t>
    </r>
    <r>
      <rPr>
        <b/>
        <sz val="12"/>
        <rFont val="Times New Roman"/>
        <family val="1"/>
      </rPr>
      <t>(</t>
    </r>
    <r>
      <rPr>
        <b/>
        <sz val="12"/>
        <rFont val="宋体"/>
        <family val="3"/>
        <charset val="134"/>
      </rPr>
      <t>元／生</t>
    </r>
    <r>
      <rPr>
        <b/>
        <sz val="12"/>
        <rFont val="Times New Roman"/>
        <family val="1"/>
      </rPr>
      <t>·</t>
    </r>
    <r>
      <rPr>
        <b/>
        <sz val="12"/>
        <rFont val="宋体"/>
        <family val="3"/>
        <charset val="134"/>
      </rPr>
      <t>年</t>
    </r>
    <r>
      <rPr>
        <b/>
        <sz val="12"/>
        <rFont val="Times New Roman"/>
        <family val="1"/>
      </rPr>
      <t xml:space="preserve">) </t>
    </r>
  </si>
  <si>
    <r>
      <rPr>
        <sz val="12"/>
        <rFont val="Times New Roman"/>
        <family val="1"/>
      </rPr>
      <t xml:space="preserve">    </t>
    </r>
    <r>
      <rPr>
        <sz val="12"/>
        <rFont val="宋体"/>
        <family val="3"/>
        <charset val="134"/>
      </rPr>
      <t>小学生均教育培养成本</t>
    </r>
    <r>
      <rPr>
        <sz val="12"/>
        <rFont val="Times New Roman"/>
        <family val="1"/>
      </rPr>
      <t>(</t>
    </r>
    <r>
      <rPr>
        <sz val="12"/>
        <rFont val="宋体"/>
        <family val="3"/>
        <charset val="134"/>
      </rPr>
      <t>元／生</t>
    </r>
    <r>
      <rPr>
        <sz val="12"/>
        <rFont val="Times New Roman"/>
        <family val="1"/>
      </rPr>
      <t>·</t>
    </r>
    <r>
      <rPr>
        <sz val="12"/>
        <rFont val="宋体"/>
        <family val="3"/>
        <charset val="134"/>
      </rPr>
      <t>年</t>
    </r>
    <r>
      <rPr>
        <sz val="12"/>
        <rFont val="Times New Roman"/>
        <family val="1"/>
      </rPr>
      <t xml:space="preserve">) </t>
    </r>
  </si>
  <si>
    <r>
      <rPr>
        <sz val="12"/>
        <rFont val="Times New Roman"/>
        <family val="1"/>
      </rPr>
      <t xml:space="preserve">    </t>
    </r>
    <r>
      <rPr>
        <sz val="12"/>
        <rFont val="宋体"/>
        <family val="3"/>
        <charset val="134"/>
      </rPr>
      <t>初中生均教育培养成本</t>
    </r>
    <r>
      <rPr>
        <sz val="12"/>
        <rFont val="Times New Roman"/>
        <family val="1"/>
      </rPr>
      <t>(</t>
    </r>
    <r>
      <rPr>
        <sz val="12"/>
        <rFont val="宋体"/>
        <family val="3"/>
        <charset val="134"/>
      </rPr>
      <t>元／生</t>
    </r>
    <r>
      <rPr>
        <sz val="12"/>
        <rFont val="Times New Roman"/>
        <family val="1"/>
      </rPr>
      <t>·</t>
    </r>
    <r>
      <rPr>
        <sz val="12"/>
        <rFont val="宋体"/>
        <family val="3"/>
        <charset val="134"/>
      </rPr>
      <t>年</t>
    </r>
    <r>
      <rPr>
        <sz val="12"/>
        <rFont val="Times New Roman"/>
        <family val="1"/>
      </rPr>
      <t xml:space="preserve">) </t>
    </r>
  </si>
  <si>
    <r>
      <rPr>
        <b/>
        <sz val="12"/>
        <color indexed="8"/>
        <rFont val="宋体"/>
        <family val="3"/>
        <charset val="134"/>
      </rPr>
      <t>学部</t>
    </r>
  </si>
  <si>
    <r>
      <rPr>
        <b/>
        <sz val="12"/>
        <color indexed="8"/>
        <rFont val="宋体"/>
        <family val="3"/>
        <charset val="134"/>
      </rPr>
      <t>班级</t>
    </r>
  </si>
  <si>
    <r>
      <rPr>
        <b/>
        <sz val="12"/>
        <color indexed="8"/>
        <rFont val="宋体"/>
        <family val="3"/>
        <charset val="134"/>
      </rPr>
      <t>上半年学生人数</t>
    </r>
  </si>
  <si>
    <r>
      <rPr>
        <b/>
        <sz val="12"/>
        <color indexed="8"/>
        <rFont val="宋体"/>
        <family val="3"/>
        <charset val="134"/>
      </rPr>
      <t>下半年学生人数</t>
    </r>
  </si>
  <si>
    <t>核定数</t>
  </si>
  <si>
    <t>小学部</t>
  </si>
  <si>
    <r>
      <rPr>
        <sz val="12"/>
        <rFont val="Times New Roman"/>
        <family val="1"/>
      </rPr>
      <t>2019</t>
    </r>
    <r>
      <rPr>
        <sz val="12"/>
        <rFont val="宋体"/>
        <family val="3"/>
        <charset val="134"/>
      </rPr>
      <t>年</t>
    </r>
  </si>
  <si>
    <r>
      <rPr>
        <sz val="12"/>
        <rFont val="Times New Roman"/>
        <family val="1"/>
      </rPr>
      <t>2020</t>
    </r>
    <r>
      <rPr>
        <sz val="12"/>
        <rFont val="宋体"/>
        <family val="3"/>
        <charset val="134"/>
      </rPr>
      <t>年</t>
    </r>
  </si>
  <si>
    <r>
      <rPr>
        <sz val="12"/>
        <rFont val="Times New Roman"/>
        <family val="1"/>
      </rPr>
      <t>2021</t>
    </r>
    <r>
      <rPr>
        <sz val="12"/>
        <rFont val="宋体"/>
        <family val="3"/>
        <charset val="134"/>
      </rPr>
      <t>年</t>
    </r>
  </si>
  <si>
    <r>
      <rPr>
        <sz val="12"/>
        <rFont val="宋体"/>
        <family val="3"/>
        <charset val="134"/>
      </rPr>
      <t>小计</t>
    </r>
  </si>
  <si>
    <r>
      <rPr>
        <b/>
        <sz val="12"/>
        <color indexed="8"/>
        <rFont val="宋体"/>
        <family val="3"/>
        <charset val="134"/>
      </rPr>
      <t>核定数</t>
    </r>
  </si>
  <si>
    <t>初中部</t>
  </si>
  <si>
    <t>高中部</t>
  </si>
  <si>
    <r>
      <rPr>
        <b/>
        <sz val="12"/>
        <color indexed="8"/>
        <rFont val="宋体"/>
        <family val="3"/>
        <charset val="134"/>
      </rPr>
      <t>项目</t>
    </r>
  </si>
  <si>
    <t>核算数</t>
  </si>
  <si>
    <t>限额数</t>
  </si>
  <si>
    <t>核减数</t>
  </si>
  <si>
    <r>
      <rPr>
        <b/>
        <sz val="12"/>
        <color indexed="8"/>
        <rFont val="宋体"/>
        <family val="3"/>
        <charset val="134"/>
      </rPr>
      <t>教职工人数</t>
    </r>
  </si>
  <si>
    <t>（一）在职教职工人数</t>
  </si>
  <si>
    <r>
      <rPr>
        <sz val="12"/>
        <color rgb="FF000000"/>
        <rFont val="Times New Roman"/>
        <family val="1"/>
      </rPr>
      <t xml:space="preserve">             </t>
    </r>
    <r>
      <rPr>
        <sz val="12"/>
        <color indexed="8"/>
        <rFont val="宋体"/>
        <family val="3"/>
        <charset val="134"/>
      </rPr>
      <t>小学部</t>
    </r>
  </si>
  <si>
    <r>
      <rPr>
        <sz val="12"/>
        <color rgb="FF000000"/>
        <rFont val="Times New Roman"/>
        <family val="1"/>
      </rPr>
      <t xml:space="preserve">            </t>
    </r>
    <r>
      <rPr>
        <sz val="12"/>
        <color indexed="8"/>
        <rFont val="宋体"/>
        <family val="3"/>
        <charset val="134"/>
      </rPr>
      <t>初中部</t>
    </r>
  </si>
  <si>
    <r>
      <rPr>
        <sz val="12"/>
        <color rgb="FF000000"/>
        <rFont val="Times New Roman"/>
        <family val="1"/>
      </rPr>
      <t xml:space="preserve">            </t>
    </r>
    <r>
      <rPr>
        <sz val="12"/>
        <color indexed="8"/>
        <rFont val="宋体"/>
        <family val="3"/>
        <charset val="134"/>
      </rPr>
      <t>高中部</t>
    </r>
  </si>
  <si>
    <r>
      <rPr>
        <b/>
        <sz val="12"/>
        <color theme="1"/>
        <rFont val="Times New Roman"/>
        <family val="1"/>
      </rPr>
      <t>2019</t>
    </r>
    <r>
      <rPr>
        <b/>
        <sz val="12"/>
        <color indexed="8"/>
        <rFont val="宋体"/>
        <family val="3"/>
        <charset val="134"/>
      </rPr>
      <t>年上报数</t>
    </r>
  </si>
  <si>
    <r>
      <rPr>
        <b/>
        <sz val="12"/>
        <color theme="1"/>
        <rFont val="Times New Roman"/>
        <family val="1"/>
      </rPr>
      <t>2019</t>
    </r>
    <r>
      <rPr>
        <b/>
        <sz val="12"/>
        <color indexed="8"/>
        <rFont val="宋体"/>
        <family val="3"/>
        <charset val="134"/>
      </rPr>
      <t>年核减数</t>
    </r>
  </si>
  <si>
    <r>
      <rPr>
        <b/>
        <sz val="12"/>
        <rFont val="Times New Roman"/>
        <family val="1"/>
      </rPr>
      <t>2019</t>
    </r>
    <r>
      <rPr>
        <b/>
        <sz val="12"/>
        <rFont val="宋体"/>
        <family val="3"/>
        <charset val="134"/>
      </rPr>
      <t>年核定数</t>
    </r>
  </si>
  <si>
    <t>比列</t>
  </si>
  <si>
    <r>
      <rPr>
        <sz val="12"/>
        <rFont val="宋体"/>
        <family val="3"/>
        <charset val="134"/>
      </rPr>
      <t>职工薪酬</t>
    </r>
  </si>
  <si>
    <r>
      <rPr>
        <sz val="12"/>
        <rFont val="宋体"/>
        <family val="3"/>
        <charset val="134"/>
      </rPr>
      <t>职工福利费</t>
    </r>
  </si>
  <si>
    <r>
      <rPr>
        <sz val="12"/>
        <rFont val="宋体"/>
        <family val="3"/>
        <charset val="134"/>
      </rPr>
      <t>社会保障费</t>
    </r>
    <r>
      <rPr>
        <sz val="12"/>
        <rFont val="Times New Roman"/>
        <family val="1"/>
      </rPr>
      <t>(</t>
    </r>
    <r>
      <rPr>
        <sz val="12"/>
        <rFont val="宋体"/>
        <family val="3"/>
        <charset val="134"/>
      </rPr>
      <t>五险</t>
    </r>
    <r>
      <rPr>
        <sz val="12"/>
        <rFont val="Times New Roman"/>
        <family val="1"/>
      </rPr>
      <t>)</t>
    </r>
  </si>
  <si>
    <r>
      <rPr>
        <sz val="12"/>
        <rFont val="宋体"/>
        <family val="3"/>
        <charset val="134"/>
      </rPr>
      <t>企业年金</t>
    </r>
  </si>
  <si>
    <t>补充医疗保险</t>
  </si>
  <si>
    <r>
      <rPr>
        <sz val="12"/>
        <rFont val="宋体"/>
        <family val="3"/>
        <charset val="134"/>
      </rPr>
      <t>住房公积金</t>
    </r>
  </si>
  <si>
    <r>
      <rPr>
        <sz val="12"/>
        <rFont val="宋体"/>
        <family val="3"/>
        <charset val="134"/>
      </rPr>
      <t>工会经费</t>
    </r>
  </si>
  <si>
    <r>
      <rPr>
        <sz val="12"/>
        <rFont val="宋体"/>
        <family val="3"/>
        <charset val="134"/>
      </rPr>
      <t>职工教育经费</t>
    </r>
  </si>
  <si>
    <r>
      <rPr>
        <b/>
        <sz val="12"/>
        <color theme="1"/>
        <rFont val="Times New Roman"/>
        <family val="1"/>
      </rPr>
      <t>2020</t>
    </r>
    <r>
      <rPr>
        <b/>
        <sz val="12"/>
        <color indexed="8"/>
        <rFont val="宋体"/>
        <family val="3"/>
        <charset val="134"/>
      </rPr>
      <t>年上报数</t>
    </r>
  </si>
  <si>
    <r>
      <rPr>
        <b/>
        <sz val="12"/>
        <color theme="1"/>
        <rFont val="Times New Roman"/>
        <family val="1"/>
      </rPr>
      <t>2020</t>
    </r>
    <r>
      <rPr>
        <b/>
        <sz val="12"/>
        <color indexed="8"/>
        <rFont val="宋体"/>
        <family val="3"/>
        <charset val="134"/>
      </rPr>
      <t>年核减数</t>
    </r>
  </si>
  <si>
    <r>
      <rPr>
        <b/>
        <sz val="12"/>
        <rFont val="Times New Roman"/>
        <family val="1"/>
      </rPr>
      <t>2020</t>
    </r>
    <r>
      <rPr>
        <b/>
        <sz val="12"/>
        <rFont val="宋体"/>
        <family val="3"/>
        <charset val="134"/>
      </rPr>
      <t>年核定数</t>
    </r>
  </si>
  <si>
    <r>
      <rPr>
        <b/>
        <sz val="12"/>
        <color theme="1"/>
        <rFont val="Times New Roman"/>
        <family val="1"/>
      </rPr>
      <t>2021</t>
    </r>
    <r>
      <rPr>
        <b/>
        <sz val="12"/>
        <color indexed="8"/>
        <rFont val="宋体"/>
        <family val="3"/>
        <charset val="134"/>
      </rPr>
      <t>年上报数</t>
    </r>
  </si>
  <si>
    <r>
      <rPr>
        <b/>
        <sz val="12"/>
        <color theme="1"/>
        <rFont val="Times New Roman"/>
        <family val="1"/>
      </rPr>
      <t>2021</t>
    </r>
    <r>
      <rPr>
        <b/>
        <sz val="12"/>
        <color indexed="8"/>
        <rFont val="宋体"/>
        <family val="3"/>
        <charset val="134"/>
      </rPr>
      <t>年核减数</t>
    </r>
  </si>
  <si>
    <r>
      <rPr>
        <b/>
        <sz val="12"/>
        <rFont val="Times New Roman"/>
        <family val="1"/>
      </rPr>
      <t>2021</t>
    </r>
    <r>
      <rPr>
        <b/>
        <sz val="12"/>
        <rFont val="宋体"/>
        <family val="3"/>
        <charset val="134"/>
      </rPr>
      <t>年核定数</t>
    </r>
  </si>
  <si>
    <r>
      <rPr>
        <b/>
        <sz val="12"/>
        <color indexed="8"/>
        <rFont val="宋体"/>
        <family val="3"/>
        <charset val="134"/>
      </rPr>
      <t>项</t>
    </r>
    <r>
      <rPr>
        <b/>
        <sz val="12"/>
        <color indexed="8"/>
        <rFont val="Times New Roman"/>
        <family val="1"/>
      </rPr>
      <t xml:space="preserve"> </t>
    </r>
    <r>
      <rPr>
        <b/>
        <sz val="12"/>
        <color indexed="8"/>
        <rFont val="宋体"/>
        <family val="3"/>
        <charset val="134"/>
      </rPr>
      <t>目</t>
    </r>
  </si>
  <si>
    <r>
      <rPr>
        <b/>
        <sz val="12"/>
        <rFont val="宋体"/>
        <family val="3"/>
        <charset val="134"/>
      </rPr>
      <t>原值</t>
    </r>
  </si>
  <si>
    <r>
      <rPr>
        <b/>
        <sz val="12"/>
        <rFont val="宋体"/>
        <family val="3"/>
        <charset val="134"/>
      </rPr>
      <t>折旧年限</t>
    </r>
  </si>
  <si>
    <r>
      <rPr>
        <b/>
        <sz val="12"/>
        <rFont val="宋体"/>
        <family val="3"/>
        <charset val="134"/>
      </rPr>
      <t>残值率</t>
    </r>
  </si>
  <si>
    <r>
      <rPr>
        <b/>
        <sz val="12"/>
        <rFont val="宋体"/>
        <family val="3"/>
        <charset val="134"/>
      </rPr>
      <t>年折旧额</t>
    </r>
  </si>
  <si>
    <r>
      <rPr>
        <b/>
        <sz val="12"/>
        <rFont val="宋体"/>
        <family val="3"/>
        <charset val="134"/>
      </rPr>
      <t>固定资产年末总值（元）</t>
    </r>
  </si>
  <si>
    <r>
      <rPr>
        <sz val="12"/>
        <rFont val="Times New Roman"/>
        <family val="1"/>
      </rPr>
      <t>3-5</t>
    </r>
    <r>
      <rPr>
        <sz val="12"/>
        <rFont val="宋体"/>
        <family val="3"/>
        <charset val="134"/>
      </rPr>
      <t>年</t>
    </r>
  </si>
  <si>
    <r>
      <rPr>
        <b/>
        <sz val="12"/>
        <rFont val="宋体"/>
        <family val="3"/>
        <charset val="134"/>
      </rPr>
      <t>一、房屋及构筑物</t>
    </r>
  </si>
  <si>
    <r>
      <rPr>
        <sz val="12"/>
        <color rgb="FF000000"/>
        <rFont val="Times New Roman"/>
        <family val="1"/>
      </rPr>
      <t>1.</t>
    </r>
    <r>
      <rPr>
        <sz val="12"/>
        <color indexed="8"/>
        <rFont val="宋体"/>
        <family val="3"/>
        <charset val="134"/>
      </rPr>
      <t>房屋</t>
    </r>
  </si>
  <si>
    <r>
      <rPr>
        <sz val="12"/>
        <color rgb="FF000000"/>
        <rFont val="Times New Roman"/>
        <family val="1"/>
      </rPr>
      <t>2.</t>
    </r>
    <r>
      <rPr>
        <sz val="12"/>
        <color indexed="8"/>
        <rFont val="宋体"/>
        <family val="3"/>
        <charset val="134"/>
      </rPr>
      <t>简易房</t>
    </r>
  </si>
  <si>
    <r>
      <rPr>
        <sz val="12"/>
        <color rgb="FF000000"/>
        <rFont val="Times New Roman"/>
        <family val="1"/>
      </rPr>
      <t>3.</t>
    </r>
    <r>
      <rPr>
        <sz val="12"/>
        <color indexed="8"/>
        <rFont val="宋体"/>
        <family val="3"/>
        <charset val="134"/>
      </rPr>
      <t>房屋附属设施</t>
    </r>
  </si>
  <si>
    <r>
      <rPr>
        <sz val="12"/>
        <color rgb="FF000000"/>
        <rFont val="Times New Roman"/>
        <family val="1"/>
      </rPr>
      <t>4.</t>
    </r>
    <r>
      <rPr>
        <sz val="12"/>
        <color indexed="8"/>
        <rFont val="宋体"/>
        <family val="3"/>
        <charset val="134"/>
      </rPr>
      <t>构筑物</t>
    </r>
  </si>
  <si>
    <r>
      <rPr>
        <b/>
        <sz val="12"/>
        <color indexed="8"/>
        <rFont val="宋体"/>
        <family val="3"/>
        <charset val="134"/>
      </rPr>
      <t>二、通用设备</t>
    </r>
  </si>
  <si>
    <r>
      <rPr>
        <sz val="12"/>
        <color rgb="FF000000"/>
        <rFont val="Times New Roman"/>
        <family val="1"/>
      </rPr>
      <t>1.</t>
    </r>
    <r>
      <rPr>
        <sz val="12"/>
        <color indexed="8"/>
        <rFont val="宋体"/>
        <family val="3"/>
        <charset val="134"/>
      </rPr>
      <t>计算机设备</t>
    </r>
  </si>
  <si>
    <r>
      <rPr>
        <sz val="12"/>
        <color rgb="FF000000"/>
        <rFont val="Times New Roman"/>
        <family val="1"/>
      </rPr>
      <t>2.</t>
    </r>
    <r>
      <rPr>
        <sz val="12"/>
        <color indexed="8"/>
        <rFont val="宋体"/>
        <family val="3"/>
        <charset val="134"/>
      </rPr>
      <t>办公设备</t>
    </r>
  </si>
  <si>
    <r>
      <rPr>
        <sz val="12"/>
        <color rgb="FF000000"/>
        <rFont val="Times New Roman"/>
        <family val="1"/>
      </rPr>
      <t>3.</t>
    </r>
    <r>
      <rPr>
        <sz val="12"/>
        <color indexed="8"/>
        <rFont val="宋体"/>
        <family val="3"/>
        <charset val="134"/>
      </rPr>
      <t>车辆</t>
    </r>
  </si>
  <si>
    <r>
      <rPr>
        <sz val="12"/>
        <color rgb="FF000000"/>
        <rFont val="Times New Roman"/>
        <family val="1"/>
      </rPr>
      <t>4.</t>
    </r>
    <r>
      <rPr>
        <sz val="12"/>
        <color indexed="8"/>
        <rFont val="宋体"/>
        <family val="3"/>
        <charset val="134"/>
      </rPr>
      <t>图书档案设备</t>
    </r>
  </si>
  <si>
    <r>
      <rPr>
        <sz val="12"/>
        <color rgb="FF000000"/>
        <rFont val="Times New Roman"/>
        <family val="1"/>
      </rPr>
      <t>5.</t>
    </r>
    <r>
      <rPr>
        <sz val="12"/>
        <color indexed="8"/>
        <rFont val="宋体"/>
        <family val="3"/>
        <charset val="134"/>
      </rPr>
      <t>机械设备</t>
    </r>
  </si>
  <si>
    <r>
      <rPr>
        <sz val="12"/>
        <color rgb="FF000000"/>
        <rFont val="Times New Roman"/>
        <family val="1"/>
      </rPr>
      <t>6.</t>
    </r>
    <r>
      <rPr>
        <sz val="12"/>
        <color indexed="8"/>
        <rFont val="宋体"/>
        <family val="3"/>
        <charset val="134"/>
      </rPr>
      <t>电气设备</t>
    </r>
  </si>
  <si>
    <r>
      <rPr>
        <sz val="12"/>
        <color rgb="FF000000"/>
        <rFont val="Times New Roman"/>
        <family val="1"/>
      </rPr>
      <t>7.</t>
    </r>
    <r>
      <rPr>
        <sz val="12"/>
        <color indexed="8"/>
        <rFont val="宋体"/>
        <family val="3"/>
        <charset val="134"/>
      </rPr>
      <t>通信设备</t>
    </r>
  </si>
  <si>
    <r>
      <rPr>
        <sz val="12"/>
        <color rgb="FF000000"/>
        <rFont val="Times New Roman"/>
        <family val="1"/>
      </rPr>
      <t>8.</t>
    </r>
    <r>
      <rPr>
        <sz val="12"/>
        <color indexed="8"/>
        <rFont val="宋体"/>
        <family val="3"/>
        <charset val="134"/>
      </rPr>
      <t>广播、电视、电影设备</t>
    </r>
  </si>
  <si>
    <r>
      <rPr>
        <sz val="12"/>
        <color rgb="FF000000"/>
        <rFont val="Times New Roman"/>
        <family val="1"/>
      </rPr>
      <t>9.</t>
    </r>
    <r>
      <rPr>
        <sz val="12"/>
        <color indexed="8"/>
        <rFont val="宋体"/>
        <family val="3"/>
        <charset val="134"/>
      </rPr>
      <t>仪器仪表</t>
    </r>
  </si>
  <si>
    <r>
      <rPr>
        <sz val="12"/>
        <color rgb="FF000000"/>
        <rFont val="Times New Roman"/>
        <family val="1"/>
      </rPr>
      <t>10.</t>
    </r>
    <r>
      <rPr>
        <sz val="12"/>
        <color indexed="8"/>
        <rFont val="宋体"/>
        <family val="3"/>
        <charset val="134"/>
      </rPr>
      <t>电子和通信测量设备、</t>
    </r>
  </si>
  <si>
    <r>
      <rPr>
        <sz val="11"/>
        <color rgb="FF000000"/>
        <rFont val="Times New Roman"/>
        <family val="1"/>
      </rPr>
      <t>11.</t>
    </r>
    <r>
      <rPr>
        <sz val="11"/>
        <color indexed="8"/>
        <rFont val="宋体"/>
        <family val="3"/>
        <charset val="134"/>
      </rPr>
      <t>计量标准器具及量具、衡器</t>
    </r>
  </si>
  <si>
    <r>
      <rPr>
        <b/>
        <sz val="12"/>
        <color indexed="8"/>
        <rFont val="宋体"/>
        <family val="3"/>
        <charset val="134"/>
      </rPr>
      <t>三、专用设备</t>
    </r>
  </si>
  <si>
    <r>
      <rPr>
        <sz val="12"/>
        <rFont val="Times New Roman"/>
        <family val="1"/>
      </rPr>
      <t>3</t>
    </r>
    <r>
      <rPr>
        <sz val="12"/>
        <rFont val="宋体"/>
        <family val="3"/>
        <charset val="134"/>
      </rPr>
      <t>年</t>
    </r>
  </si>
  <si>
    <r>
      <rPr>
        <sz val="12"/>
        <color rgb="FF000000"/>
        <rFont val="Times New Roman"/>
        <family val="1"/>
      </rPr>
      <t>1.</t>
    </r>
    <r>
      <rPr>
        <sz val="12"/>
        <color indexed="8"/>
        <rFont val="宋体"/>
        <family val="3"/>
        <charset val="134"/>
      </rPr>
      <t>专用仪器仪表</t>
    </r>
  </si>
  <si>
    <r>
      <rPr>
        <sz val="12"/>
        <color rgb="FF000000"/>
        <rFont val="Times New Roman"/>
        <family val="1"/>
      </rPr>
      <t>2.</t>
    </r>
    <r>
      <rPr>
        <sz val="12"/>
        <color indexed="8"/>
        <rFont val="宋体"/>
        <family val="3"/>
        <charset val="134"/>
      </rPr>
      <t>文艺设备</t>
    </r>
  </si>
  <si>
    <r>
      <rPr>
        <sz val="12"/>
        <color rgb="FF000000"/>
        <rFont val="Times New Roman"/>
        <family val="1"/>
      </rPr>
      <t>3.</t>
    </r>
    <r>
      <rPr>
        <sz val="12"/>
        <color indexed="8"/>
        <rFont val="宋体"/>
        <family val="3"/>
        <charset val="134"/>
      </rPr>
      <t>体育设备</t>
    </r>
  </si>
  <si>
    <r>
      <rPr>
        <sz val="12"/>
        <color rgb="FF000000"/>
        <rFont val="Times New Roman"/>
        <family val="1"/>
      </rPr>
      <t>4.</t>
    </r>
    <r>
      <rPr>
        <sz val="12"/>
        <color indexed="8"/>
        <rFont val="宋体"/>
        <family val="3"/>
        <charset val="134"/>
      </rPr>
      <t>娱乐设备</t>
    </r>
  </si>
  <si>
    <r>
      <rPr>
        <sz val="12"/>
        <color rgb="FF000000"/>
        <rFont val="Times New Roman"/>
        <family val="1"/>
      </rPr>
      <t>5.</t>
    </r>
    <r>
      <rPr>
        <sz val="12"/>
        <color indexed="8"/>
        <rFont val="宋体"/>
        <family val="3"/>
        <charset val="134"/>
      </rPr>
      <t>公安专用设备</t>
    </r>
  </si>
  <si>
    <r>
      <rPr>
        <sz val="12"/>
        <color rgb="FF000000"/>
        <rFont val="Times New Roman"/>
        <family val="1"/>
      </rPr>
      <t>6.</t>
    </r>
    <r>
      <rPr>
        <sz val="12"/>
        <color indexed="8"/>
        <rFont val="宋体"/>
        <family val="3"/>
        <charset val="134"/>
      </rPr>
      <t>其他专用设备</t>
    </r>
  </si>
  <si>
    <r>
      <rPr>
        <b/>
        <sz val="12"/>
        <color indexed="8"/>
        <rFont val="宋体"/>
        <family val="3"/>
        <charset val="134"/>
      </rPr>
      <t>四、家具、用具及装具</t>
    </r>
  </si>
  <si>
    <r>
      <rPr>
        <sz val="12"/>
        <color rgb="FF000000"/>
        <rFont val="Times New Roman"/>
        <family val="1"/>
      </rPr>
      <t>1.</t>
    </r>
    <r>
      <rPr>
        <sz val="12"/>
        <color indexed="8"/>
        <rFont val="宋体"/>
        <family val="3"/>
        <charset val="134"/>
      </rPr>
      <t>家具</t>
    </r>
  </si>
  <si>
    <t>其中：学生用家具（教学用）</t>
  </si>
  <si>
    <r>
      <rPr>
        <sz val="12"/>
        <color rgb="FF000000"/>
        <rFont val="Times New Roman"/>
        <family val="1"/>
      </rPr>
      <t>2.</t>
    </r>
    <r>
      <rPr>
        <sz val="12"/>
        <color indexed="8"/>
        <rFont val="宋体"/>
        <family val="3"/>
        <charset val="134"/>
      </rPr>
      <t>用具和装具</t>
    </r>
  </si>
  <si>
    <t>承 诺 书</t>
  </si>
  <si>
    <r>
      <rPr>
        <sz val="15"/>
        <color theme="1"/>
        <rFont val="Times New Roman"/>
        <family val="1"/>
      </rPr>
      <t xml:space="preserve">        </t>
    </r>
    <r>
      <rPr>
        <sz val="15"/>
        <color theme="1"/>
        <rFont val="宋体"/>
        <family val="3"/>
        <charset val="134"/>
      </rPr>
      <t>根据《政府制定价格成本监审办法》（国家发展和改革委员会第</t>
    </r>
    <r>
      <rPr>
        <sz val="15"/>
        <color theme="1"/>
        <rFont val="Times New Roman"/>
        <family val="1"/>
      </rPr>
      <t>8</t>
    </r>
    <r>
      <rPr>
        <sz val="15"/>
        <color theme="1"/>
        <rFont val="宋体"/>
        <family val="3"/>
        <charset val="134"/>
      </rPr>
      <t>号令）的要求，我校就湖南省民办中小学校教育培养定价成本监审所提供的成本费用资料及数据郑重承诺如下：</t>
    </r>
  </si>
  <si>
    <t xml:space="preserve">    一、提供的成本所需资料、数据是合法、真实、完整的；</t>
  </si>
  <si>
    <t xml:space="preserve">    二、如因我校提供的资料不合法、不真实、不完整引起的一切后果，由本校自行承担。</t>
  </si>
  <si>
    <r>
      <rPr>
        <sz val="15"/>
        <color theme="1"/>
        <rFont val="Times New Roman"/>
        <family val="1"/>
      </rPr>
      <t xml:space="preserve">                                                    </t>
    </r>
    <r>
      <rPr>
        <sz val="15"/>
        <color theme="1"/>
        <rFont val="宋体"/>
        <family val="3"/>
        <charset val="134"/>
      </rPr>
      <t>财务负责人员（签字）：</t>
    </r>
  </si>
  <si>
    <t xml:space="preserve">                              法人代表（签字）：</t>
  </si>
  <si>
    <r>
      <rPr>
        <sz val="15"/>
        <color theme="1"/>
        <rFont val="Times New Roman"/>
        <family val="1"/>
      </rPr>
      <t xml:space="preserve">                                   </t>
    </r>
    <r>
      <rPr>
        <sz val="15"/>
        <color theme="1"/>
        <rFont val="宋体"/>
        <family val="3"/>
        <charset val="134"/>
      </rPr>
      <t>年</t>
    </r>
    <r>
      <rPr>
        <sz val="15"/>
        <color theme="1"/>
        <rFont val="Times New Roman"/>
        <family val="1"/>
      </rPr>
      <t xml:space="preserve">     </t>
    </r>
    <r>
      <rPr>
        <sz val="15"/>
        <color theme="1"/>
        <rFont val="宋体"/>
        <family val="3"/>
        <charset val="134"/>
      </rPr>
      <t>月</t>
    </r>
    <r>
      <rPr>
        <sz val="16"/>
        <color theme="1"/>
        <rFont val="Times New Roman"/>
        <family val="1"/>
      </rPr>
      <t xml:space="preserve">     </t>
    </r>
    <r>
      <rPr>
        <sz val="16"/>
        <color theme="1"/>
        <rFont val="宋体"/>
        <family val="3"/>
        <charset val="134"/>
      </rPr>
      <t>日</t>
    </r>
  </si>
  <si>
    <r>
      <t>2019</t>
    </r>
    <r>
      <rPr>
        <sz val="12"/>
        <rFont val="宋体"/>
        <family val="3"/>
        <charset val="134"/>
      </rPr>
      <t>年</t>
    </r>
    <phoneticPr fontId="38" type="noConversion"/>
  </si>
  <si>
    <r>
      <t>2020</t>
    </r>
    <r>
      <rPr>
        <sz val="12"/>
        <rFont val="宋体"/>
        <family val="3"/>
        <charset val="134"/>
      </rPr>
      <t>年</t>
    </r>
    <phoneticPr fontId="38" type="noConversion"/>
  </si>
  <si>
    <r>
      <t>2021</t>
    </r>
    <r>
      <rPr>
        <sz val="12"/>
        <rFont val="宋体"/>
        <family val="3"/>
        <charset val="134"/>
      </rPr>
      <t>年</t>
    </r>
    <phoneticPr fontId="38" type="noConversion"/>
  </si>
  <si>
    <t>标准学生人数</t>
  </si>
  <si>
    <t>标准学生人数</t>
    <phoneticPr fontId="38" type="noConversion"/>
  </si>
  <si>
    <t>实际学生人数</t>
    <phoneticPr fontId="38" type="noConversion"/>
  </si>
  <si>
    <t>2019年上半年人数</t>
    <phoneticPr fontId="38" type="noConversion"/>
  </si>
  <si>
    <t>2019年下半年人数</t>
    <phoneticPr fontId="38" type="noConversion"/>
  </si>
  <si>
    <t>2020年上半年人数</t>
    <phoneticPr fontId="38" type="noConversion"/>
  </si>
  <si>
    <t>2020年下半年人数</t>
    <phoneticPr fontId="38" type="noConversion"/>
  </si>
  <si>
    <t>2021年上半年人数</t>
    <phoneticPr fontId="38" type="noConversion"/>
  </si>
  <si>
    <t>2021年下半年人数</t>
    <phoneticPr fontId="38" type="noConversion"/>
  </si>
  <si>
    <r>
      <t xml:space="preserve">  2.</t>
    </r>
    <r>
      <rPr>
        <sz val="12"/>
        <rFont val="宋体"/>
        <family val="3"/>
        <charset val="134"/>
      </rPr>
      <t>福利费</t>
    </r>
    <phoneticPr fontId="38" type="noConversion"/>
  </si>
  <si>
    <r>
      <t xml:space="preserve">    18.</t>
    </r>
    <r>
      <rPr>
        <sz val="12"/>
        <color indexed="8"/>
        <rFont val="宋体"/>
        <family val="3"/>
        <charset val="134"/>
      </rPr>
      <t>职工教育经费</t>
    </r>
    <phoneticPr fontId="38" type="noConversion"/>
  </si>
  <si>
    <r>
      <t xml:space="preserve">    10.</t>
    </r>
    <r>
      <rPr>
        <sz val="12"/>
        <color indexed="8"/>
        <rFont val="宋体"/>
        <family val="3"/>
        <charset val="134"/>
      </rPr>
      <t>广告费</t>
    </r>
    <phoneticPr fontId="38" type="noConversion"/>
  </si>
  <si>
    <t>2021年学校固定资产折旧计算表</t>
    <phoneticPr fontId="38" type="noConversion"/>
  </si>
  <si>
    <t>当地教育行业人均数</t>
    <phoneticPr fontId="38" type="noConversion"/>
  </si>
  <si>
    <t>核定人数</t>
    <phoneticPr fontId="38" type="noConversion"/>
  </si>
  <si>
    <t>2019年</t>
    <phoneticPr fontId="38" type="noConversion"/>
  </si>
  <si>
    <t>2020年</t>
    <phoneticPr fontId="38" type="noConversion"/>
  </si>
  <si>
    <t>2021年</t>
    <phoneticPr fontId="38" type="noConversion"/>
  </si>
  <si>
    <t>核定平均总额</t>
    <phoneticPr fontId="38" type="noConversion"/>
  </si>
  <si>
    <t>按照计提固定构筑物的原值（计提）折旧，按照年平均学生人数占设计办学规模人数的比列折算后计入教育培养成本，本年度学生总数为203人，设计为6000人，按照703万年均房屋折旧为237848.33元，（包括所有建筑）</t>
    <phoneticPr fontId="38" type="noConversion"/>
  </si>
  <si>
    <t>二、设备</t>
    <phoneticPr fontId="38" type="noConversion"/>
  </si>
  <si>
    <t>郡祁学校</t>
    <phoneticPr fontId="38" type="noConversion"/>
  </si>
  <si>
    <t>郡祁高级中学有限公司</t>
    <phoneticPr fontId="38" type="noConversion"/>
  </si>
  <si>
    <t>总额</t>
    <phoneticPr fontId="38" type="noConversion"/>
  </si>
  <si>
    <t>分摊总额</t>
    <phoneticPr fontId="38" type="noConversion"/>
  </si>
  <si>
    <t>学费占比</t>
    <phoneticPr fontId="38" type="noConversion"/>
  </si>
  <si>
    <t>住宿费占比</t>
    <phoneticPr fontId="38" type="noConversion"/>
  </si>
  <si>
    <t>三、按照事业收入项目分摊的固定资产折旧</t>
    <phoneticPr fontId="38" type="noConversion"/>
  </si>
  <si>
    <t>服务费占比</t>
    <phoneticPr fontId="38" type="noConversion"/>
  </si>
  <si>
    <t>限额值（1.2倍）</t>
    <phoneticPr fontId="38" type="noConversion"/>
  </si>
  <si>
    <t>年工资福利支出</t>
    <phoneticPr fontId="38" type="noConversion"/>
  </si>
  <si>
    <t>总额</t>
    <phoneticPr fontId="38" type="noConversion"/>
  </si>
  <si>
    <t>不超过14%</t>
    <phoneticPr fontId="38" type="noConversion"/>
  </si>
  <si>
    <t>不超过12%，不低于5%</t>
  </si>
  <si>
    <t>不超过12%，不低于5%</t>
    <phoneticPr fontId="38" type="noConversion"/>
  </si>
  <si>
    <t>分摊金额（元）</t>
    <phoneticPr fontId="38" type="noConversion"/>
  </si>
  <si>
    <t>按照计提固定构筑物的原值（计提）折旧，按照年平均学生人数占设计办学规模人数的比列折算后计入教育培养成本，本年度学生总数为1504人，设计为6000人，按照703万年均房屋折旧为1762186.67元，（包括所有建筑）</t>
    <phoneticPr fontId="38" type="noConversion"/>
  </si>
  <si>
    <t>各项收入占总收入比列</t>
    <phoneticPr fontId="38" type="noConversion"/>
  </si>
  <si>
    <t>学费</t>
    <phoneticPr fontId="38" type="noConversion"/>
  </si>
  <si>
    <t>住宿费</t>
    <phoneticPr fontId="38" type="noConversion"/>
  </si>
  <si>
    <t>服务费</t>
    <phoneticPr fontId="38" type="noConversion"/>
  </si>
  <si>
    <r>
      <t xml:space="preserve">  1.</t>
    </r>
    <r>
      <rPr>
        <sz val="12"/>
        <rFont val="宋体"/>
        <family val="3"/>
        <charset val="134"/>
      </rPr>
      <t>工资</t>
    </r>
    <phoneticPr fontId="38" type="noConversion"/>
  </si>
  <si>
    <r>
      <t xml:space="preserve">    8.</t>
    </r>
    <r>
      <rPr>
        <sz val="12"/>
        <color indexed="8"/>
        <rFont val="宋体"/>
        <family val="3"/>
        <charset val="134"/>
      </rPr>
      <t>网络费用</t>
    </r>
    <phoneticPr fontId="38" type="noConversion"/>
  </si>
  <si>
    <t>取初中为标准0.8，小学为初中的0.56计算</t>
    <phoneticPr fontId="38" type="noConversion"/>
  </si>
  <si>
    <t>六、核定教育培养总成本（元）</t>
    <phoneticPr fontId="38" type="noConversion"/>
  </si>
  <si>
    <r>
      <t xml:space="preserve">    </t>
    </r>
    <r>
      <rPr>
        <sz val="12"/>
        <rFont val="宋体"/>
        <family val="3"/>
        <charset val="134"/>
      </rPr>
      <t>三年小学平均教育培养成本</t>
    </r>
    <r>
      <rPr>
        <sz val="12"/>
        <rFont val="Times New Roman"/>
        <family val="1"/>
      </rPr>
      <t>(</t>
    </r>
    <r>
      <rPr>
        <sz val="12"/>
        <rFont val="宋体"/>
        <family val="3"/>
        <charset val="134"/>
      </rPr>
      <t>元／生</t>
    </r>
    <r>
      <rPr>
        <sz val="12"/>
        <rFont val="Times New Roman"/>
        <family val="1"/>
      </rPr>
      <t>·</t>
    </r>
    <r>
      <rPr>
        <sz val="12"/>
        <rFont val="宋体"/>
        <family val="3"/>
        <charset val="134"/>
      </rPr>
      <t>年</t>
    </r>
    <r>
      <rPr>
        <sz val="12"/>
        <rFont val="Times New Roman"/>
        <family val="1"/>
      </rPr>
      <t xml:space="preserve">) </t>
    </r>
    <phoneticPr fontId="38" type="noConversion"/>
  </si>
  <si>
    <r>
      <t xml:space="preserve">    </t>
    </r>
    <r>
      <rPr>
        <sz val="12"/>
        <rFont val="宋体"/>
        <family val="3"/>
        <charset val="134"/>
      </rPr>
      <t>三年初中平均教育培养成本</t>
    </r>
    <r>
      <rPr>
        <sz val="12"/>
        <rFont val="Times New Roman"/>
        <family val="1"/>
      </rPr>
      <t>(</t>
    </r>
    <r>
      <rPr>
        <sz val="12"/>
        <rFont val="宋体"/>
        <family val="3"/>
        <charset val="134"/>
      </rPr>
      <t>元／生</t>
    </r>
    <r>
      <rPr>
        <sz val="12"/>
        <rFont val="Times New Roman"/>
        <family val="1"/>
      </rPr>
      <t>·</t>
    </r>
    <r>
      <rPr>
        <sz val="12"/>
        <rFont val="宋体"/>
        <family val="3"/>
        <charset val="134"/>
      </rPr>
      <t>年</t>
    </r>
    <r>
      <rPr>
        <sz val="12"/>
        <rFont val="Times New Roman"/>
        <family val="1"/>
      </rPr>
      <t xml:space="preserve">) </t>
    </r>
    <phoneticPr fontId="38" type="noConversion"/>
  </si>
  <si>
    <t>237848.33+536060.14</t>
    <phoneticPr fontId="38" type="noConversion"/>
  </si>
  <si>
    <t>加高中人数标准</t>
    <phoneticPr fontId="38" type="noConversion"/>
  </si>
  <si>
    <t>加高中人数实际</t>
    <phoneticPr fontId="38" type="noConversion"/>
  </si>
  <si>
    <t>按照计提固定构筑物的原值（计提）折旧，按照年平均学生人数占设计办学规模人数的比列折算后计入教育培养成本，本年度学生总数为964人，设计为6000人，按照703万年均房屋折旧为1129486.67元，（包括所有建筑）</t>
    <phoneticPr fontId="38" type="noConversion"/>
  </si>
  <si>
    <r>
      <rPr>
        <sz val="12"/>
        <color rgb="FF000000"/>
        <rFont val="宋体"/>
        <family val="3"/>
        <charset val="134"/>
      </rPr>
      <t>按固定资产年末总值计算，取设备平均折旧年限</t>
    </r>
    <r>
      <rPr>
        <sz val="12"/>
        <color rgb="FF000000"/>
        <rFont val="Times New Roman"/>
        <family val="1"/>
      </rPr>
      <t>6</t>
    </r>
    <r>
      <rPr>
        <sz val="12"/>
        <color rgb="FF000000"/>
        <rFont val="宋体"/>
        <family val="3"/>
        <charset val="134"/>
      </rPr>
      <t>年，认定残值率为</t>
    </r>
    <r>
      <rPr>
        <sz val="12"/>
        <color rgb="FF000000"/>
        <rFont val="Times New Roman"/>
        <family val="1"/>
      </rPr>
      <t>5%</t>
    </r>
    <r>
      <rPr>
        <sz val="12"/>
        <color rgb="FF000000"/>
        <rFont val="宋体"/>
        <family val="3"/>
        <charset val="134"/>
      </rPr>
      <t>。按照年平均学生人数占总平均（</t>
    </r>
    <r>
      <rPr>
        <sz val="12"/>
        <color rgb="FF000000"/>
        <rFont val="Times New Roman"/>
        <family val="1"/>
      </rPr>
      <t>+</t>
    </r>
    <r>
      <rPr>
        <sz val="12"/>
        <color rgb="FF000000"/>
        <rFont val="宋体"/>
        <family val="3"/>
        <charset val="134"/>
      </rPr>
      <t>高中）学生人数的比列折算后计入教育培养成本，</t>
    </r>
    <r>
      <rPr>
        <sz val="12"/>
        <color rgb="FF000000"/>
        <rFont val="Times New Roman"/>
        <family val="1"/>
      </rPr>
      <t>2019</t>
    </r>
    <r>
      <rPr>
        <sz val="12"/>
        <color rgb="FF000000"/>
        <rFont val="宋体"/>
        <family val="3"/>
        <charset val="134"/>
      </rPr>
      <t>年没有高中学生，固定资产折旧全部计入定价成本</t>
    </r>
    <phoneticPr fontId="38" type="noConversion"/>
  </si>
  <si>
    <r>
      <rPr>
        <sz val="12"/>
        <color rgb="FF000000"/>
        <rFont val="宋体"/>
        <family val="3"/>
        <charset val="134"/>
      </rPr>
      <t>按固定资产年末总值计算，取设备平均折旧年限</t>
    </r>
    <r>
      <rPr>
        <sz val="12"/>
        <color rgb="FF000000"/>
        <rFont val="Times New Roman"/>
        <family val="1"/>
      </rPr>
      <t>6</t>
    </r>
    <r>
      <rPr>
        <sz val="12"/>
        <color rgb="FF000000"/>
        <rFont val="宋体"/>
        <family val="3"/>
        <charset val="134"/>
      </rPr>
      <t>年，认定残值率为</t>
    </r>
    <r>
      <rPr>
        <sz val="12"/>
        <color rgb="FF000000"/>
        <rFont val="Times New Roman"/>
        <family val="1"/>
      </rPr>
      <t>5%</t>
    </r>
    <r>
      <rPr>
        <sz val="12"/>
        <color rgb="FF000000"/>
        <rFont val="宋体"/>
        <family val="3"/>
        <charset val="134"/>
      </rPr>
      <t>。按照年平均学生人数占总平均（</t>
    </r>
    <r>
      <rPr>
        <sz val="12"/>
        <color rgb="FF000000"/>
        <rFont val="Times New Roman"/>
        <family val="1"/>
      </rPr>
      <t>+</t>
    </r>
    <r>
      <rPr>
        <sz val="12"/>
        <color rgb="FF000000"/>
        <rFont val="宋体"/>
        <family val="3"/>
        <charset val="134"/>
      </rPr>
      <t>高中）学生人数的比列折算后计入教育培养成本，本年度学生总数为</t>
    </r>
    <r>
      <rPr>
        <sz val="12"/>
        <color rgb="FF000000"/>
        <rFont val="Times New Roman"/>
        <family val="1"/>
      </rPr>
      <t>964</t>
    </r>
    <r>
      <rPr>
        <sz val="12"/>
        <color rgb="FF000000"/>
        <rFont val="宋体"/>
        <family val="3"/>
        <charset val="134"/>
      </rPr>
      <t>人，实际为</t>
    </r>
    <r>
      <rPr>
        <sz val="12"/>
        <color rgb="FF000000"/>
        <rFont val="Times New Roman"/>
        <family val="1"/>
      </rPr>
      <t>1078</t>
    </r>
    <r>
      <rPr>
        <sz val="12"/>
        <color rgb="FF000000"/>
        <rFont val="宋体"/>
        <family val="3"/>
        <charset val="134"/>
      </rPr>
      <t>人（</t>
    </r>
    <r>
      <rPr>
        <sz val="12"/>
        <color rgb="FF000000"/>
        <rFont val="Times New Roman"/>
        <family val="1"/>
      </rPr>
      <t>+</t>
    </r>
    <r>
      <rPr>
        <sz val="12"/>
        <color rgb="FF000000"/>
        <rFont val="宋体"/>
        <family val="3"/>
        <charset val="134"/>
      </rPr>
      <t>高中教育），按照</t>
    </r>
    <r>
      <rPr>
        <sz val="12"/>
        <color rgb="FF000000"/>
        <rFont val="Times New Roman"/>
        <family val="1"/>
      </rPr>
      <t>2163232.91</t>
    </r>
    <r>
      <rPr>
        <sz val="12"/>
        <color rgb="FF000000"/>
        <rFont val="宋体"/>
        <family val="3"/>
        <charset val="134"/>
      </rPr>
      <t>元，年均设备折旧</t>
    </r>
    <r>
      <rPr>
        <sz val="12"/>
        <color rgb="FF000000"/>
        <rFont val="Times New Roman"/>
        <family val="1"/>
      </rPr>
      <t>=2163232.91</t>
    </r>
    <r>
      <rPr>
        <sz val="12"/>
        <color rgb="FF000000"/>
        <rFont val="宋体"/>
        <family val="3"/>
        <charset val="134"/>
      </rPr>
      <t>×</t>
    </r>
    <r>
      <rPr>
        <sz val="12"/>
        <color rgb="FF000000"/>
        <rFont val="Times New Roman"/>
        <family val="1"/>
      </rPr>
      <t>964</t>
    </r>
    <r>
      <rPr>
        <sz val="12"/>
        <color rgb="FF000000"/>
        <rFont val="宋体"/>
        <family val="3"/>
        <charset val="134"/>
      </rPr>
      <t>÷</t>
    </r>
    <r>
      <rPr>
        <sz val="12"/>
        <color rgb="FF000000"/>
        <rFont val="Times New Roman"/>
        <family val="1"/>
      </rPr>
      <t>1078=1782212.78</t>
    </r>
    <r>
      <rPr>
        <sz val="12"/>
        <color rgb="FF000000"/>
        <rFont val="宋体"/>
        <family val="3"/>
        <charset val="134"/>
      </rPr>
      <t>元，（公摊所有设备）</t>
    </r>
    <r>
      <rPr>
        <sz val="12"/>
        <color rgb="FF000000"/>
        <rFont val="Times New Roman"/>
        <family val="1"/>
      </rPr>
      <t/>
    </r>
    <phoneticPr fontId="38" type="noConversion"/>
  </si>
  <si>
    <r>
      <rPr>
        <sz val="11"/>
        <color rgb="FF000000"/>
        <rFont val="宋体"/>
        <family val="3"/>
        <charset val="134"/>
      </rPr>
      <t>按固定资产年末总值计算，取设备平均折旧年限</t>
    </r>
    <r>
      <rPr>
        <sz val="11"/>
        <color rgb="FF000000"/>
        <rFont val="Times New Roman"/>
        <family val="1"/>
      </rPr>
      <t>6</t>
    </r>
    <r>
      <rPr>
        <sz val="11"/>
        <color rgb="FF000000"/>
        <rFont val="宋体"/>
        <family val="3"/>
        <charset val="134"/>
      </rPr>
      <t>年，认定残值率为</t>
    </r>
    <r>
      <rPr>
        <sz val="11"/>
        <color rgb="FF000000"/>
        <rFont val="Times New Roman"/>
        <family val="1"/>
      </rPr>
      <t>5%</t>
    </r>
    <r>
      <rPr>
        <sz val="11"/>
        <color rgb="FF000000"/>
        <rFont val="宋体"/>
        <family val="3"/>
        <charset val="134"/>
      </rPr>
      <t>。按照年平均学生人数占总平均（</t>
    </r>
    <r>
      <rPr>
        <sz val="11"/>
        <color rgb="FF000000"/>
        <rFont val="Times New Roman"/>
        <family val="1"/>
      </rPr>
      <t>+</t>
    </r>
    <r>
      <rPr>
        <sz val="11"/>
        <color rgb="FF000000"/>
        <rFont val="宋体"/>
        <family val="3"/>
        <charset val="134"/>
      </rPr>
      <t>高中）学生人数的比列折算后计入教育培养成本，本年度学生总数为</t>
    </r>
    <r>
      <rPr>
        <sz val="11"/>
        <color rgb="FF000000"/>
        <rFont val="Times New Roman"/>
        <family val="1"/>
      </rPr>
      <t>1504</t>
    </r>
    <r>
      <rPr>
        <sz val="11"/>
        <color rgb="FF000000"/>
        <rFont val="宋体"/>
        <family val="3"/>
        <charset val="134"/>
      </rPr>
      <t>人，实际人数</t>
    </r>
    <r>
      <rPr>
        <sz val="11"/>
        <color rgb="FF000000"/>
        <rFont val="Times New Roman"/>
        <family val="1"/>
      </rPr>
      <t>2034</t>
    </r>
    <r>
      <rPr>
        <sz val="11"/>
        <color rgb="FF000000"/>
        <rFont val="宋体"/>
        <family val="3"/>
        <charset val="134"/>
      </rPr>
      <t>人，年均设备折旧</t>
    </r>
    <r>
      <rPr>
        <sz val="11"/>
        <color rgb="FF000000"/>
        <rFont val="Times New Roman"/>
        <family val="1"/>
      </rPr>
      <t>=2711087.83</t>
    </r>
    <r>
      <rPr>
        <sz val="11"/>
        <color rgb="FF000000"/>
        <rFont val="宋体"/>
        <family val="3"/>
        <charset val="134"/>
      </rPr>
      <t>×</t>
    </r>
    <r>
      <rPr>
        <sz val="11"/>
        <color rgb="FF000000"/>
        <rFont val="Times New Roman"/>
        <family val="1"/>
      </rPr>
      <t>1504</t>
    </r>
    <r>
      <rPr>
        <sz val="11"/>
        <color rgb="FF000000"/>
        <rFont val="宋体"/>
        <family val="3"/>
        <charset val="134"/>
      </rPr>
      <t>÷</t>
    </r>
    <r>
      <rPr>
        <sz val="11"/>
        <color rgb="FF000000"/>
        <rFont val="Times New Roman"/>
        <family val="1"/>
      </rPr>
      <t>2034=2004658.85</t>
    </r>
    <r>
      <rPr>
        <sz val="11"/>
        <color rgb="FF000000"/>
        <rFont val="宋体"/>
        <family val="3"/>
        <charset val="134"/>
      </rPr>
      <t>元（公摊所有设备）</t>
    </r>
    <r>
      <rPr>
        <sz val="10"/>
        <color rgb="FF000000"/>
        <rFont val="Times New Roman"/>
        <family val="1"/>
      </rPr>
      <t/>
    </r>
    <phoneticPr fontId="38" type="noConversion"/>
  </si>
  <si>
    <t>顶薪核减福利等支出</t>
    <phoneticPr fontId="38" type="noConversion"/>
  </si>
  <si>
    <t>郡祁学校基本情况表</t>
    <phoneticPr fontId="38" type="noConversion"/>
  </si>
  <si>
    <t>郡祁学校收入情况表</t>
    <phoneticPr fontId="38" type="noConversion"/>
  </si>
  <si>
    <t>郡祁学校教育成本归集表</t>
    <phoneticPr fontId="38" type="noConversion"/>
  </si>
  <si>
    <t>郡祁学校学生人数核定表</t>
    <phoneticPr fontId="38" type="noConversion"/>
  </si>
  <si>
    <t>郡祁学校教职工人数核定表</t>
    <phoneticPr fontId="38" type="noConversion"/>
  </si>
  <si>
    <t>郡祁学校教职工年工资总额核定表</t>
    <phoneticPr fontId="38" type="noConversion"/>
  </si>
  <si>
    <t>郡祁学校职工薪酬核定表</t>
    <phoneticPr fontId="38" type="noConversion"/>
  </si>
  <si>
    <t>2019年郡祁学校固定资产折旧核定表</t>
    <phoneticPr fontId="38" type="noConversion"/>
  </si>
  <si>
    <t>2020年郡祁学校固定资产折旧核定表</t>
    <phoneticPr fontId="38" type="noConversion"/>
  </si>
  <si>
    <t>2021年郡祁学校固定资产折旧核定表</t>
    <phoneticPr fontId="38" type="noConversion"/>
  </si>
  <si>
    <t>1762186.67+2711087.83</t>
    <phoneticPr fontId="38" type="noConversion"/>
  </si>
  <si>
    <t>1129486.67+2163232.91</t>
    <phoneticPr fontId="38" type="noConversion"/>
  </si>
  <si>
    <t>郡祁学校教育培养成本核定表</t>
    <phoneticPr fontId="38" type="noConversion"/>
  </si>
</sst>
</file>

<file path=xl/styles.xml><?xml version="1.0" encoding="utf-8"?>
<styleSheet xmlns="http://schemas.openxmlformats.org/spreadsheetml/2006/main">
  <numFmts count="7">
    <numFmt numFmtId="43" formatCode="_ * #,##0.00_ ;_ * \-#,##0.00_ ;_ * &quot;-&quot;??_ ;_ @_ "/>
    <numFmt numFmtId="176" formatCode="#,##0.00_ "/>
    <numFmt numFmtId="177" formatCode="0_ "/>
    <numFmt numFmtId="178" formatCode="#,##0.00_);[Red]\(#,##0.00\)"/>
    <numFmt numFmtId="179" formatCode="0.00_ "/>
    <numFmt numFmtId="180" formatCode="0.00_);[Red]\(0.00\)"/>
    <numFmt numFmtId="181" formatCode="0_);[Red]\(0\)"/>
  </numFmts>
  <fonts count="42">
    <font>
      <sz val="11"/>
      <color theme="1"/>
      <name val="宋体"/>
      <charset val="134"/>
      <scheme val="minor"/>
    </font>
    <font>
      <b/>
      <sz val="26"/>
      <color theme="1"/>
      <name val="方正黑体_GBK"/>
      <charset val="134"/>
    </font>
    <font>
      <sz val="15"/>
      <color theme="1"/>
      <name val="宋体"/>
      <family val="3"/>
      <charset val="134"/>
    </font>
    <font>
      <sz val="15"/>
      <color theme="1"/>
      <name val="Calibri"/>
      <family val="2"/>
    </font>
    <font>
      <sz val="15"/>
      <color theme="1"/>
      <name val="Times New Roman"/>
      <family val="1"/>
    </font>
    <font>
      <b/>
      <sz val="20"/>
      <color rgb="FF000000"/>
      <name val="方正小标宋简体"/>
      <charset val="134"/>
    </font>
    <font>
      <b/>
      <sz val="12"/>
      <color rgb="FF000000"/>
      <name val="Times New Roman"/>
      <family val="1"/>
    </font>
    <font>
      <b/>
      <sz val="12"/>
      <name val="Times New Roman"/>
      <family val="1"/>
    </font>
    <font>
      <sz val="12"/>
      <name val="Times New Roman"/>
      <family val="1"/>
    </font>
    <font>
      <sz val="12"/>
      <color rgb="FF000000"/>
      <name val="Times New Roman"/>
      <family val="1"/>
    </font>
    <font>
      <sz val="11"/>
      <color rgb="FF000000"/>
      <name val="Times New Roman"/>
      <family val="1"/>
    </font>
    <font>
      <sz val="11"/>
      <color indexed="8"/>
      <name val="宋体"/>
      <family val="3"/>
      <charset val="134"/>
    </font>
    <font>
      <b/>
      <sz val="20"/>
      <name val="方正小标宋简体"/>
      <charset val="134"/>
    </font>
    <font>
      <sz val="12"/>
      <name val="宋体"/>
      <family val="3"/>
      <charset val="134"/>
    </font>
    <font>
      <b/>
      <sz val="12"/>
      <color theme="1"/>
      <name val="Times New Roman"/>
      <family val="1"/>
    </font>
    <font>
      <b/>
      <sz val="12"/>
      <name val="宋体"/>
      <family val="3"/>
      <charset val="134"/>
    </font>
    <font>
      <b/>
      <sz val="11"/>
      <color theme="1"/>
      <name val="宋体"/>
      <family val="3"/>
      <charset val="134"/>
      <scheme val="minor"/>
    </font>
    <font>
      <b/>
      <sz val="12"/>
      <color rgb="FFFF0000"/>
      <name val="宋体"/>
      <family val="3"/>
      <charset val="134"/>
    </font>
    <font>
      <sz val="12"/>
      <color rgb="FF000000"/>
      <name val="宋体"/>
      <family val="3"/>
      <charset val="134"/>
    </font>
    <font>
      <sz val="16"/>
      <name val="Times New Roman"/>
      <family val="1"/>
    </font>
    <font>
      <b/>
      <sz val="10"/>
      <name val="Times New Roman"/>
      <family val="1"/>
    </font>
    <font>
      <b/>
      <sz val="12"/>
      <color rgb="FFFF0000"/>
      <name val="Times New Roman"/>
      <family val="1"/>
    </font>
    <font>
      <sz val="12"/>
      <color indexed="8"/>
      <name val="Times New Roman"/>
      <family val="1"/>
    </font>
    <font>
      <b/>
      <sz val="12"/>
      <color indexed="8"/>
      <name val="Times New Roman"/>
      <family val="1"/>
    </font>
    <font>
      <sz val="16"/>
      <name val="黑体"/>
      <family val="3"/>
      <charset val="134"/>
    </font>
    <font>
      <sz val="10"/>
      <name val="Times New Roman"/>
      <family val="1"/>
    </font>
    <font>
      <sz val="11"/>
      <color rgb="FFFF0000"/>
      <name val="宋体"/>
      <family val="3"/>
      <charset val="134"/>
      <scheme val="minor"/>
    </font>
    <font>
      <sz val="12"/>
      <color theme="1"/>
      <name val="宋体"/>
      <family val="3"/>
      <charset val="134"/>
    </font>
    <font>
      <sz val="16"/>
      <color rgb="FF000000"/>
      <name val="方正楷体简体"/>
      <charset val="134"/>
    </font>
    <font>
      <sz val="12"/>
      <name val="Calibri"/>
      <family val="2"/>
    </font>
    <font>
      <sz val="11"/>
      <color theme="1"/>
      <name val="宋体"/>
      <family val="3"/>
      <charset val="134"/>
      <scheme val="minor"/>
    </font>
    <font>
      <sz val="16"/>
      <color theme="1"/>
      <name val="Times New Roman"/>
      <family val="1"/>
    </font>
    <font>
      <sz val="16"/>
      <color theme="1"/>
      <name val="宋体"/>
      <family val="3"/>
      <charset val="134"/>
    </font>
    <font>
      <b/>
      <sz val="12"/>
      <color indexed="8"/>
      <name val="宋体"/>
      <family val="3"/>
      <charset val="134"/>
    </font>
    <font>
      <sz val="12"/>
      <color indexed="8"/>
      <name val="宋体"/>
      <family val="3"/>
      <charset val="134"/>
    </font>
    <font>
      <sz val="16"/>
      <name val="宋体"/>
      <family val="3"/>
      <charset val="134"/>
    </font>
    <font>
      <sz val="9"/>
      <name val="宋体"/>
      <family val="3"/>
      <charset val="134"/>
    </font>
    <font>
      <b/>
      <sz val="9"/>
      <name val="宋体"/>
      <family val="3"/>
      <charset val="134"/>
    </font>
    <font>
      <sz val="9"/>
      <name val="宋体"/>
      <family val="3"/>
      <charset val="134"/>
      <scheme val="minor"/>
    </font>
    <font>
      <sz val="18"/>
      <color theme="1"/>
      <name val="宋体"/>
      <family val="3"/>
      <charset val="134"/>
      <scheme val="minor"/>
    </font>
    <font>
      <sz val="11"/>
      <color rgb="FF000000"/>
      <name val="宋体"/>
      <family val="3"/>
      <charset val="134"/>
    </font>
    <font>
      <sz val="10"/>
      <color rgb="FF000000"/>
      <name val="Times New Roman"/>
      <family val="1"/>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bottom style="medium">
        <color auto="1"/>
      </bottom>
      <diagonal/>
    </border>
    <border>
      <left/>
      <right/>
      <top/>
      <bottom style="medium">
        <color rgb="FF000000"/>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cellStyleXfs>
  <cellXfs count="19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justify" vertical="center"/>
    </xf>
    <xf numFmtId="0" fontId="3" fillId="0" borderId="0" xfId="0" applyFont="1" applyAlignment="1">
      <alignment horizontal="justify" vertical="center"/>
    </xf>
    <xf numFmtId="0" fontId="4" fillId="0" borderId="0" xfId="0" applyFont="1" applyAlignment="1">
      <alignment horizontal="justify" vertical="center"/>
    </xf>
    <xf numFmtId="0" fontId="4" fillId="0" borderId="0" xfId="0" applyFont="1" applyAlignment="1">
      <alignment horizontal="center" vertical="center"/>
    </xf>
    <xf numFmtId="0" fontId="6" fillId="0" borderId="1" xfId="2" applyFont="1" applyBorder="1" applyAlignment="1">
      <alignment horizontal="center" vertical="center" wrapText="1"/>
    </xf>
    <xf numFmtId="0" fontId="7" fillId="0" borderId="1" xfId="2" applyFont="1" applyBorder="1" applyAlignment="1">
      <alignment horizontal="center" vertical="center" wrapText="1"/>
    </xf>
    <xf numFmtId="0" fontId="7" fillId="0" borderId="1" xfId="2" applyFont="1" applyFill="1" applyBorder="1" applyAlignment="1" applyProtection="1">
      <alignment vertical="center" wrapText="1"/>
    </xf>
    <xf numFmtId="0" fontId="8" fillId="0" borderId="1" xfId="2" applyFont="1" applyBorder="1" applyAlignment="1">
      <alignment vertical="center" wrapText="1"/>
    </xf>
    <xf numFmtId="0" fontId="8" fillId="0" borderId="1" xfId="2" applyFont="1" applyBorder="1" applyAlignment="1">
      <alignment horizontal="center" vertical="center" wrapText="1"/>
    </xf>
    <xf numFmtId="9" fontId="8" fillId="0" borderId="1" xfId="2" applyNumberFormat="1" applyFont="1" applyBorder="1" applyAlignment="1">
      <alignment vertical="center" wrapText="1"/>
    </xf>
    <xf numFmtId="0" fontId="7" fillId="0" borderId="1" xfId="2" applyFont="1" applyFill="1" applyBorder="1" applyAlignment="1" applyProtection="1">
      <alignment horizontal="left" vertical="center" wrapText="1"/>
    </xf>
    <xf numFmtId="0" fontId="7" fillId="0" borderId="1" xfId="2" applyFont="1" applyBorder="1" applyAlignment="1">
      <alignment vertical="center" wrapText="1"/>
    </xf>
    <xf numFmtId="0" fontId="9" fillId="0" borderId="1" xfId="2" applyFont="1" applyBorder="1" applyAlignment="1">
      <alignment horizontal="justify" vertical="center" wrapText="1"/>
    </xf>
    <xf numFmtId="0" fontId="6" fillId="0" borderId="1" xfId="2" applyFont="1" applyBorder="1" applyAlignment="1">
      <alignment horizontal="justify" vertical="center" wrapText="1"/>
    </xf>
    <xf numFmtId="0" fontId="10" fillId="0" borderId="1" xfId="2" applyFont="1" applyBorder="1" applyAlignment="1">
      <alignment horizontal="justify" vertical="center" wrapText="1"/>
    </xf>
    <xf numFmtId="0" fontId="11" fillId="0" borderId="1" xfId="2" applyFont="1" applyBorder="1" applyAlignment="1">
      <alignment horizontal="justify" vertical="center" wrapText="1"/>
    </xf>
    <xf numFmtId="0" fontId="13" fillId="0" borderId="0" xfId="1" applyFont="1" applyFill="1" applyBorder="1" applyAlignment="1"/>
    <xf numFmtId="0" fontId="14" fillId="0" borderId="1" xfId="2" applyFont="1" applyFill="1" applyBorder="1" applyAlignment="1">
      <alignment horizontal="center" vertical="center"/>
    </xf>
    <xf numFmtId="43" fontId="14" fillId="0" borderId="1" xfId="3" applyNumberFormat="1" applyFont="1" applyFill="1" applyBorder="1" applyAlignment="1">
      <alignment horizontal="center" vertical="center"/>
    </xf>
    <xf numFmtId="43" fontId="7" fillId="0" borderId="1" xfId="3" applyNumberFormat="1" applyFont="1" applyFill="1" applyBorder="1" applyAlignment="1">
      <alignment horizontal="center" vertical="center"/>
    </xf>
    <xf numFmtId="0" fontId="16" fillId="0" borderId="1" xfId="0" applyFont="1" applyBorder="1" applyAlignment="1">
      <alignment horizontal="center" vertical="center"/>
    </xf>
    <xf numFmtId="0" fontId="8" fillId="0" borderId="1" xfId="2" applyFont="1" applyFill="1" applyBorder="1" applyAlignment="1">
      <alignment horizontal="left" vertical="center"/>
    </xf>
    <xf numFmtId="176" fontId="8" fillId="0" borderId="1" xfId="2" applyNumberFormat="1" applyFont="1" applyFill="1" applyBorder="1" applyAlignment="1">
      <alignment horizontal="center" vertical="center"/>
    </xf>
    <xf numFmtId="0" fontId="8" fillId="0" borderId="1" xfId="2" applyFont="1" applyBorder="1">
      <alignment vertical="center"/>
    </xf>
    <xf numFmtId="0" fontId="0" fillId="0" borderId="1" xfId="0" applyBorder="1">
      <alignment vertical="center"/>
    </xf>
    <xf numFmtId="0" fontId="13" fillId="0" borderId="1" xfId="2" applyFont="1" applyFill="1" applyBorder="1" applyAlignment="1">
      <alignment horizontal="left" vertical="center"/>
    </xf>
    <xf numFmtId="0" fontId="14" fillId="0" borderId="1" xfId="1" applyFont="1" applyFill="1" applyBorder="1" applyAlignment="1">
      <alignment horizontal="center" vertical="center" wrapText="1"/>
    </xf>
    <xf numFmtId="0" fontId="17" fillId="0" borderId="1" xfId="1" applyFont="1" applyFill="1" applyBorder="1" applyAlignment="1">
      <alignment horizontal="center" vertical="center" wrapText="1"/>
    </xf>
    <xf numFmtId="0" fontId="14" fillId="2" borderId="1" xfId="1" applyFont="1" applyFill="1" applyBorder="1" applyAlignment="1">
      <alignment horizontal="center" vertical="center"/>
    </xf>
    <xf numFmtId="0" fontId="13" fillId="2" borderId="1" xfId="1" applyFont="1" applyFill="1" applyBorder="1" applyAlignment="1" applyProtection="1">
      <alignment horizontal="left" vertical="center"/>
    </xf>
    <xf numFmtId="0" fontId="8" fillId="0" borderId="1" xfId="1" applyFont="1" applyBorder="1" applyAlignment="1">
      <alignment horizontal="center" vertical="center"/>
    </xf>
    <xf numFmtId="177" fontId="8" fillId="0" borderId="1" xfId="1" applyNumberFormat="1" applyFont="1" applyBorder="1" applyAlignment="1">
      <alignment horizontal="center" vertical="center"/>
    </xf>
    <xf numFmtId="177" fontId="8" fillId="0" borderId="1" xfId="1" applyNumberFormat="1" applyFont="1" applyFill="1" applyBorder="1" applyAlignment="1">
      <alignment horizontal="center" vertical="center"/>
    </xf>
    <xf numFmtId="0" fontId="8" fillId="0" borderId="1" xfId="1" applyFont="1" applyFill="1" applyBorder="1" applyAlignment="1">
      <alignment horizontal="center" vertical="center"/>
    </xf>
    <xf numFmtId="0" fontId="8" fillId="2" borderId="1" xfId="1" applyFont="1" applyFill="1" applyBorder="1" applyAlignment="1" applyProtection="1">
      <alignment horizontal="left" vertical="center" indent="2"/>
    </xf>
    <xf numFmtId="176" fontId="9" fillId="2" borderId="1" xfId="1" applyNumberFormat="1" applyFont="1" applyFill="1" applyBorder="1" applyAlignment="1">
      <alignment horizontal="left" vertical="center"/>
    </xf>
    <xf numFmtId="176" fontId="18" fillId="2" borderId="1" xfId="1" applyNumberFormat="1" applyFont="1" applyFill="1" applyBorder="1" applyAlignment="1">
      <alignment horizontal="left" vertical="center"/>
    </xf>
    <xf numFmtId="0" fontId="8" fillId="0" borderId="2" xfId="1" applyFont="1" applyFill="1" applyBorder="1" applyAlignment="1">
      <alignment horizontal="center" vertical="center"/>
    </xf>
    <xf numFmtId="0" fontId="8" fillId="2" borderId="1" xfId="1" applyFont="1" applyFill="1" applyBorder="1">
      <alignment vertical="center"/>
    </xf>
    <xf numFmtId="0" fontId="8" fillId="0" borderId="1" xfId="1" applyFont="1" applyBorder="1">
      <alignment vertical="center"/>
    </xf>
    <xf numFmtId="0" fontId="15" fillId="0" borderId="1" xfId="1" applyFont="1" applyBorder="1" applyAlignment="1">
      <alignment horizontal="center" vertical="center"/>
    </xf>
    <xf numFmtId="0" fontId="8" fillId="0" borderId="0" xfId="1" applyFont="1">
      <alignment vertical="center"/>
    </xf>
    <xf numFmtId="0" fontId="19" fillId="0" borderId="0" xfId="1" applyFont="1" applyFill="1" applyAlignment="1" applyProtection="1">
      <alignment vertical="center" wrapText="1"/>
    </xf>
    <xf numFmtId="0" fontId="13" fillId="0" borderId="0" xfId="1">
      <alignment vertical="center"/>
    </xf>
    <xf numFmtId="0" fontId="15" fillId="0" borderId="6"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15" fillId="0" borderId="6" xfId="1" applyFont="1" applyFill="1" applyBorder="1" applyAlignment="1" applyProtection="1">
      <alignment horizontal="left" vertical="center"/>
    </xf>
    <xf numFmtId="0" fontId="8" fillId="0" borderId="1" xfId="1" applyFont="1" applyFill="1" applyBorder="1" applyAlignment="1" applyProtection="1">
      <alignment horizontal="center" vertical="center" wrapText="1"/>
    </xf>
    <xf numFmtId="0" fontId="8" fillId="0" borderId="6" xfId="1" applyFont="1" applyFill="1" applyBorder="1" applyAlignment="1" applyProtection="1">
      <alignment vertical="center"/>
    </xf>
    <xf numFmtId="177" fontId="8" fillId="0" borderId="1" xfId="1" applyNumberFormat="1" applyFont="1" applyFill="1" applyBorder="1" applyAlignment="1" applyProtection="1">
      <alignment horizontal="center" vertical="center" wrapText="1"/>
    </xf>
    <xf numFmtId="0" fontId="15" fillId="0" borderId="6" xfId="1" applyFont="1" applyFill="1" applyBorder="1" applyAlignment="1" applyProtection="1">
      <alignment vertical="center"/>
    </xf>
    <xf numFmtId="10" fontId="8" fillId="0" borderId="1" xfId="1" applyNumberFormat="1" applyFont="1" applyFill="1" applyBorder="1" applyAlignment="1" applyProtection="1">
      <alignment horizontal="center" vertical="center" wrapText="1"/>
    </xf>
    <xf numFmtId="0" fontId="13" fillId="0" borderId="6" xfId="1" applyFont="1" applyFill="1" applyBorder="1" applyAlignment="1" applyProtection="1">
      <alignment vertical="center"/>
    </xf>
    <xf numFmtId="176" fontId="8" fillId="0" borderId="1" xfId="1" applyNumberFormat="1" applyFont="1" applyFill="1" applyBorder="1" applyAlignment="1" applyProtection="1">
      <alignment horizontal="center" vertical="center" wrapText="1"/>
    </xf>
    <xf numFmtId="178" fontId="7" fillId="0" borderId="1" xfId="1" applyNumberFormat="1" applyFont="1" applyFill="1" applyBorder="1" applyAlignment="1" applyProtection="1">
      <alignment horizontal="right" vertical="center" wrapText="1"/>
    </xf>
    <xf numFmtId="178" fontId="8" fillId="0" borderId="1" xfId="1" applyNumberFormat="1" applyFont="1" applyFill="1" applyBorder="1" applyAlignment="1" applyProtection="1">
      <alignment horizontal="right" vertical="center" wrapText="1"/>
    </xf>
    <xf numFmtId="0" fontId="8" fillId="0" borderId="6" xfId="1" applyFont="1" applyFill="1" applyBorder="1" applyAlignment="1" applyProtection="1">
      <alignment horizontal="left" vertical="center"/>
    </xf>
    <xf numFmtId="176" fontId="8" fillId="0" borderId="1" xfId="1" applyNumberFormat="1" applyFont="1" applyFill="1" applyBorder="1" applyAlignment="1" applyProtection="1">
      <alignment horizontal="right" vertical="center" wrapText="1"/>
    </xf>
    <xf numFmtId="0" fontId="19" fillId="0" borderId="0" xfId="1" applyFont="1">
      <alignment vertical="center"/>
    </xf>
    <xf numFmtId="0" fontId="8" fillId="0" borderId="0" xfId="1" applyFont="1" applyAlignment="1">
      <alignment horizontal="center" vertical="center"/>
    </xf>
    <xf numFmtId="0" fontId="7" fillId="2" borderId="1" xfId="1" applyFont="1" applyFill="1" applyBorder="1" applyAlignment="1" applyProtection="1">
      <alignment horizontal="center" vertical="center"/>
    </xf>
    <xf numFmtId="0" fontId="17" fillId="2" borderId="1" xfId="1" applyFont="1" applyFill="1" applyBorder="1" applyAlignment="1" applyProtection="1">
      <alignment horizontal="center" vertical="center"/>
    </xf>
    <xf numFmtId="0" fontId="21" fillId="2" borderId="1" xfId="1" applyFont="1" applyFill="1" applyBorder="1" applyAlignment="1" applyProtection="1">
      <alignment horizontal="center" vertical="center"/>
    </xf>
    <xf numFmtId="0" fontId="7" fillId="2" borderId="1" xfId="1" applyFont="1" applyFill="1" applyBorder="1" applyAlignment="1" applyProtection="1">
      <alignment vertical="center"/>
    </xf>
    <xf numFmtId="0" fontId="7" fillId="2" borderId="1" xfId="1" applyFont="1" applyFill="1" applyBorder="1">
      <alignment vertical="center"/>
    </xf>
    <xf numFmtId="0" fontId="8" fillId="2" borderId="1" xfId="1" applyFont="1" applyFill="1" applyBorder="1" applyAlignment="1" applyProtection="1">
      <alignment horizontal="left" vertical="center" indent="1"/>
    </xf>
    <xf numFmtId="49" fontId="22" fillId="2" borderId="1" xfId="1" applyNumberFormat="1" applyFont="1" applyFill="1" applyBorder="1" applyAlignment="1" applyProtection="1">
      <alignment horizontal="left" vertical="center"/>
    </xf>
    <xf numFmtId="0" fontId="8" fillId="0" borderId="1" xfId="1" applyFont="1" applyFill="1" applyBorder="1">
      <alignment vertical="center"/>
    </xf>
    <xf numFmtId="49" fontId="23" fillId="2" borderId="1" xfId="1" applyNumberFormat="1" applyFont="1" applyFill="1" applyBorder="1" applyAlignment="1" applyProtection="1">
      <alignment horizontal="left" vertical="center"/>
    </xf>
    <xf numFmtId="0" fontId="7" fillId="2" borderId="1" xfId="1" applyFont="1" applyFill="1" applyBorder="1" applyAlignment="1" applyProtection="1">
      <alignment horizontal="left" vertical="center" wrapText="1"/>
    </xf>
    <xf numFmtId="0" fontId="24" fillId="0" borderId="0" xfId="2" applyFont="1" applyFill="1" applyAlignment="1" applyProtection="1">
      <alignment vertical="center" wrapText="1"/>
    </xf>
    <xf numFmtId="0" fontId="13" fillId="0" borderId="0" xfId="2">
      <alignment vertical="center"/>
    </xf>
    <xf numFmtId="0" fontId="25" fillId="0" borderId="5" xfId="2" applyFont="1" applyFill="1" applyBorder="1" applyAlignment="1" applyProtection="1">
      <alignment vertical="center" wrapText="1"/>
    </xf>
    <xf numFmtId="0" fontId="25" fillId="0" borderId="5" xfId="2" applyFont="1" applyFill="1" applyBorder="1" applyAlignment="1" applyProtection="1">
      <alignment horizontal="right" vertical="center" wrapText="1"/>
    </xf>
    <xf numFmtId="0" fontId="15" fillId="0" borderId="1" xfId="2" applyFont="1" applyFill="1" applyBorder="1" applyAlignment="1" applyProtection="1">
      <alignment horizontal="center" vertical="center" wrapText="1"/>
    </xf>
    <xf numFmtId="0" fontId="26" fillId="0" borderId="0" xfId="0" applyFont="1">
      <alignment vertical="center"/>
    </xf>
    <xf numFmtId="0" fontId="15" fillId="0" borderId="1" xfId="2" applyFont="1" applyFill="1" applyBorder="1" applyAlignment="1" applyProtection="1">
      <alignment vertical="center" wrapText="1"/>
    </xf>
    <xf numFmtId="178" fontId="15" fillId="0" borderId="1" xfId="2" applyNumberFormat="1" applyFont="1" applyFill="1" applyBorder="1" applyAlignment="1" applyProtection="1">
      <alignment horizontal="right" vertical="center" wrapText="1"/>
    </xf>
    <xf numFmtId="0" fontId="13" fillId="0" borderId="1" xfId="2" applyFont="1" applyFill="1" applyBorder="1" applyAlignment="1" applyProtection="1">
      <alignment horizontal="left" vertical="center" wrapText="1"/>
    </xf>
    <xf numFmtId="178" fontId="13" fillId="0" borderId="1" xfId="2" applyNumberFormat="1" applyFont="1" applyFill="1" applyBorder="1" applyAlignment="1" applyProtection="1">
      <alignment horizontal="right" vertical="center" wrapText="1"/>
    </xf>
    <xf numFmtId="178" fontId="13" fillId="0" borderId="1" xfId="2" applyNumberFormat="1" applyFont="1" applyFill="1" applyBorder="1" applyAlignment="1" applyProtection="1">
      <alignment vertical="center" wrapText="1"/>
    </xf>
    <xf numFmtId="0" fontId="27" fillId="0" borderId="1" xfId="2" applyFont="1" applyFill="1" applyBorder="1" applyAlignment="1" applyProtection="1">
      <alignment horizontal="left" vertical="center" wrapText="1"/>
    </xf>
    <xf numFmtId="0" fontId="13" fillId="0" borderId="1" xfId="2" applyFont="1" applyFill="1" applyBorder="1" applyAlignment="1" applyProtection="1">
      <alignment vertical="center"/>
    </xf>
    <xf numFmtId="178" fontId="13" fillId="0" borderId="1" xfId="2" applyNumberFormat="1" applyFont="1" applyFill="1" applyBorder="1" applyAlignment="1" applyProtection="1">
      <alignment vertical="center"/>
    </xf>
    <xf numFmtId="0" fontId="15" fillId="0" borderId="1" xfId="2" applyFont="1" applyFill="1" applyBorder="1" applyAlignment="1" applyProtection="1">
      <alignment vertical="center"/>
    </xf>
    <xf numFmtId="0" fontId="13" fillId="0" borderId="1" xfId="2" applyFont="1" applyFill="1" applyBorder="1" applyAlignment="1" applyProtection="1">
      <alignment horizontal="right" vertical="center" wrapText="1"/>
    </xf>
    <xf numFmtId="0" fontId="13" fillId="0" borderId="1" xfId="2" applyFont="1" applyFill="1" applyBorder="1" applyAlignment="1" applyProtection="1">
      <alignment horizontal="left" vertical="center" indent="1"/>
    </xf>
    <xf numFmtId="0" fontId="0" fillId="0" borderId="0" xfId="0" applyAlignment="1">
      <alignment horizontal="center" vertical="center"/>
    </xf>
    <xf numFmtId="0" fontId="19" fillId="0" borderId="0" xfId="2" applyFont="1">
      <alignment vertical="center"/>
    </xf>
    <xf numFmtId="0" fontId="13" fillId="0" borderId="0" xfId="2" applyAlignment="1">
      <alignment horizontal="center" vertical="center"/>
    </xf>
    <xf numFmtId="0" fontId="23" fillId="0" borderId="1" xfId="2" applyFont="1" applyFill="1" applyBorder="1" applyAlignment="1">
      <alignment horizontal="center" vertical="center" wrapText="1"/>
    </xf>
    <xf numFmtId="0" fontId="7" fillId="0" borderId="1" xfId="2" applyFont="1" applyBorder="1" applyAlignment="1">
      <alignment horizontal="center" vertical="center"/>
    </xf>
    <xf numFmtId="0" fontId="23" fillId="0" borderId="1" xfId="2" applyFont="1" applyFill="1" applyBorder="1" applyAlignment="1">
      <alignment horizontal="left" vertical="center" wrapText="1"/>
    </xf>
    <xf numFmtId="0" fontId="22" fillId="0" borderId="1" xfId="2" applyFont="1" applyFill="1" applyBorder="1" applyAlignment="1">
      <alignment horizontal="left" vertical="center" wrapText="1"/>
    </xf>
    <xf numFmtId="0" fontId="22" fillId="0" borderId="1" xfId="2" applyFont="1" applyFill="1" applyBorder="1" applyAlignment="1">
      <alignment horizontal="center" vertical="center" wrapText="1"/>
    </xf>
    <xf numFmtId="0" fontId="8" fillId="0" borderId="1" xfId="2" applyFont="1" applyBorder="1" applyAlignment="1">
      <alignment horizontal="center" vertical="center"/>
    </xf>
    <xf numFmtId="0" fontId="9" fillId="0" borderId="1" xfId="2" applyFont="1" applyFill="1" applyBorder="1" applyAlignment="1">
      <alignment horizontal="left" vertical="center" wrapText="1"/>
    </xf>
    <xf numFmtId="0" fontId="9" fillId="0" borderId="1" xfId="2" applyFont="1" applyFill="1" applyBorder="1" applyAlignment="1">
      <alignment horizontal="center" vertical="center" wrapText="1"/>
    </xf>
    <xf numFmtId="177" fontId="8" fillId="0" borderId="1" xfId="2" applyNumberFormat="1" applyFont="1" applyBorder="1" applyAlignment="1">
      <alignment horizontal="center" vertical="center"/>
    </xf>
    <xf numFmtId="0" fontId="7" fillId="0" borderId="1" xfId="2" applyFont="1" applyBorder="1" applyAlignment="1">
      <alignment horizontal="left" vertical="center"/>
    </xf>
    <xf numFmtId="177" fontId="7" fillId="0" borderId="1" xfId="2" applyNumberFormat="1" applyFont="1" applyBorder="1" applyAlignment="1">
      <alignment horizontal="center" vertical="center"/>
    </xf>
    <xf numFmtId="0" fontId="14" fillId="0" borderId="1" xfId="2" applyFont="1" applyFill="1" applyBorder="1" applyAlignment="1">
      <alignment horizontal="left" vertical="center"/>
    </xf>
    <xf numFmtId="0" fontId="8" fillId="0" borderId="1" xfId="2" applyFont="1" applyFill="1" applyBorder="1" applyAlignment="1" applyProtection="1">
      <alignment horizontal="left" vertical="center" indent="1"/>
    </xf>
    <xf numFmtId="0" fontId="8" fillId="0" borderId="1" xfId="2" applyFont="1" applyFill="1" applyBorder="1" applyAlignment="1" applyProtection="1">
      <alignment horizontal="center" vertical="center"/>
    </xf>
    <xf numFmtId="0" fontId="8" fillId="0" borderId="1" xfId="2" applyFont="1" applyFill="1" applyBorder="1" applyAlignment="1" applyProtection="1">
      <alignment horizontal="left" vertical="center" indent="2"/>
    </xf>
    <xf numFmtId="176" fontId="9" fillId="0" borderId="1" xfId="2" applyNumberFormat="1" applyFont="1" applyFill="1" applyBorder="1" applyAlignment="1">
      <alignment horizontal="left" vertical="center"/>
    </xf>
    <xf numFmtId="176" fontId="18" fillId="0" borderId="1" xfId="2" applyNumberFormat="1" applyFont="1" applyFill="1" applyBorder="1" applyAlignment="1">
      <alignment horizontal="left" vertical="center"/>
    </xf>
    <xf numFmtId="176" fontId="18" fillId="0" borderId="1" xfId="2" applyNumberFormat="1" applyFont="1" applyFill="1" applyBorder="1" applyAlignment="1">
      <alignment horizontal="center" vertical="center"/>
    </xf>
    <xf numFmtId="0" fontId="7" fillId="0" borderId="1" xfId="2" applyFont="1" applyFill="1" applyBorder="1" applyAlignment="1" applyProtection="1">
      <alignment horizontal="center" vertical="center" wrapText="1"/>
    </xf>
    <xf numFmtId="49" fontId="9" fillId="0" borderId="1" xfId="2" applyNumberFormat="1" applyFont="1" applyFill="1" applyBorder="1" applyAlignment="1" applyProtection="1">
      <alignment horizontal="left" vertical="center"/>
    </xf>
    <xf numFmtId="49" fontId="9" fillId="0" borderId="1" xfId="2" applyNumberFormat="1" applyFont="1" applyFill="1" applyBorder="1" applyAlignment="1" applyProtection="1">
      <alignment horizontal="center" vertical="center"/>
    </xf>
    <xf numFmtId="0" fontId="19" fillId="0" borderId="0" xfId="1" applyFont="1" applyBorder="1" applyAlignment="1">
      <alignment horizontal="justify" wrapText="1"/>
    </xf>
    <xf numFmtId="0" fontId="13" fillId="0" borderId="7" xfId="1" applyFont="1" applyBorder="1" applyAlignment="1">
      <alignment horizontal="justify" wrapText="1"/>
    </xf>
    <xf numFmtId="0" fontId="29" fillId="0" borderId="7" xfId="1" applyFont="1" applyBorder="1" applyAlignment="1">
      <alignment horizontal="justify" wrapText="1"/>
    </xf>
    <xf numFmtId="14" fontId="29" fillId="0" borderId="8" xfId="1" applyNumberFormat="1" applyFont="1" applyBorder="1" applyAlignment="1">
      <alignment horizontal="justify" wrapText="1"/>
    </xf>
    <xf numFmtId="0" fontId="15" fillId="0" borderId="1" xfId="1" applyFont="1" applyBorder="1">
      <alignment vertical="center"/>
    </xf>
    <xf numFmtId="0" fontId="30" fillId="0" borderId="1" xfId="0" applyFont="1" applyBorder="1">
      <alignment vertical="center"/>
    </xf>
    <xf numFmtId="177" fontId="0" fillId="0" borderId="1" xfId="0" applyNumberFormat="1" applyBorder="1">
      <alignment vertical="center"/>
    </xf>
    <xf numFmtId="0" fontId="33" fillId="0" borderId="1" xfId="1" applyFont="1" applyFill="1" applyBorder="1" applyAlignment="1">
      <alignment horizontal="center" vertical="center" wrapText="1"/>
    </xf>
    <xf numFmtId="0" fontId="8" fillId="0" borderId="1" xfId="2" applyFont="1" applyBorder="1" applyAlignment="1">
      <alignment horizontal="center" vertical="center" wrapText="1"/>
    </xf>
    <xf numFmtId="177" fontId="14" fillId="0" borderId="2" xfId="1" applyNumberFormat="1" applyFont="1" applyFill="1" applyBorder="1" applyAlignment="1">
      <alignment horizontal="center" vertical="center" wrapText="1"/>
    </xf>
    <xf numFmtId="0" fontId="17" fillId="0" borderId="6" xfId="1" applyFont="1" applyFill="1" applyBorder="1" applyAlignment="1">
      <alignment horizontal="center" vertical="center" wrapText="1"/>
    </xf>
    <xf numFmtId="177" fontId="14" fillId="0" borderId="10" xfId="1" applyNumberFormat="1" applyFont="1" applyFill="1" applyBorder="1" applyAlignment="1">
      <alignment horizontal="center" vertical="center" wrapText="1"/>
    </xf>
    <xf numFmtId="0" fontId="8" fillId="0" borderId="6" xfId="1" applyFont="1" applyFill="1" applyBorder="1" applyAlignment="1">
      <alignment horizontal="center" vertical="center"/>
    </xf>
    <xf numFmtId="0" fontId="16" fillId="0" borderId="1" xfId="0" applyFont="1" applyBorder="1">
      <alignment vertical="center"/>
    </xf>
    <xf numFmtId="0" fontId="33" fillId="0" borderId="1" xfId="2" applyFont="1" applyBorder="1" applyAlignment="1">
      <alignment horizontal="justify" vertical="center" wrapText="1"/>
    </xf>
    <xf numFmtId="0" fontId="18" fillId="0" borderId="1" xfId="2" applyFont="1" applyBorder="1" applyAlignment="1">
      <alignment horizontal="justify" vertical="center" wrapText="1"/>
    </xf>
    <xf numFmtId="0" fontId="40" fillId="0" borderId="1" xfId="2" applyFont="1" applyBorder="1" applyAlignment="1">
      <alignment horizontal="justify" vertical="center" wrapText="1"/>
    </xf>
    <xf numFmtId="0" fontId="13" fillId="0" borderId="1" xfId="2" applyFont="1" applyBorder="1" applyAlignment="1">
      <alignment vertical="center" wrapText="1"/>
    </xf>
    <xf numFmtId="176" fontId="0" fillId="0" borderId="0" xfId="0" applyNumberFormat="1">
      <alignment vertical="center"/>
    </xf>
    <xf numFmtId="0" fontId="13" fillId="0" borderId="3" xfId="2" applyFont="1" applyFill="1" applyBorder="1" applyAlignment="1">
      <alignment horizontal="left" vertical="center"/>
    </xf>
    <xf numFmtId="176" fontId="0" fillId="0" borderId="1" xfId="0" applyNumberFormat="1" applyBorder="1">
      <alignment vertical="center"/>
    </xf>
    <xf numFmtId="9" fontId="0" fillId="0" borderId="1" xfId="0" applyNumberFormat="1" applyBorder="1">
      <alignment vertical="center"/>
    </xf>
    <xf numFmtId="10" fontId="0" fillId="0" borderId="1" xfId="0" applyNumberFormat="1" applyBorder="1">
      <alignment vertical="center"/>
    </xf>
    <xf numFmtId="9" fontId="30" fillId="0" borderId="1" xfId="0" applyNumberFormat="1" applyFont="1" applyBorder="1">
      <alignment vertical="center"/>
    </xf>
    <xf numFmtId="179" fontId="8" fillId="0" borderId="1" xfId="2" applyNumberFormat="1" applyFont="1" applyBorder="1" applyAlignment="1">
      <alignment vertical="center" wrapText="1"/>
    </xf>
    <xf numFmtId="180" fontId="8" fillId="0" borderId="1" xfId="2" applyNumberFormat="1" applyFont="1" applyBorder="1" applyAlignment="1">
      <alignment vertical="center" wrapText="1"/>
    </xf>
    <xf numFmtId="178" fontId="15" fillId="0" borderId="1" xfId="2" applyNumberFormat="1" applyFont="1" applyFill="1" applyBorder="1" applyAlignment="1" applyProtection="1">
      <alignment vertical="center"/>
    </xf>
    <xf numFmtId="179" fontId="13" fillId="0" borderId="1" xfId="2" applyNumberFormat="1" applyFont="1" applyFill="1" applyBorder="1" applyAlignment="1" applyProtection="1">
      <alignment horizontal="right" vertical="center" wrapText="1"/>
    </xf>
    <xf numFmtId="179" fontId="15" fillId="0" borderId="1" xfId="2" applyNumberFormat="1" applyFont="1" applyFill="1" applyBorder="1" applyAlignment="1" applyProtection="1">
      <alignment horizontal="right" vertical="center"/>
    </xf>
    <xf numFmtId="0" fontId="30" fillId="0" borderId="1" xfId="0" applyFont="1" applyFill="1" applyBorder="1">
      <alignment vertical="center"/>
    </xf>
    <xf numFmtId="0" fontId="12" fillId="0" borderId="0" xfId="1" applyFont="1" applyFill="1" applyAlignment="1" applyProtection="1">
      <alignment horizontal="center" vertical="center"/>
    </xf>
    <xf numFmtId="0" fontId="28" fillId="0" borderId="0" xfId="1" applyFont="1" applyAlignment="1">
      <alignment horizontal="center" vertical="center" wrapText="1"/>
    </xf>
    <xf numFmtId="0" fontId="12" fillId="0" borderId="0" xfId="2" applyFont="1" applyFill="1" applyAlignment="1" applyProtection="1">
      <alignment horizontal="center" vertical="center"/>
    </xf>
    <xf numFmtId="0" fontId="15" fillId="0" borderId="0" xfId="2" applyFont="1" applyFill="1" applyAlignment="1" applyProtection="1">
      <alignment horizontal="left" vertical="center"/>
    </xf>
    <xf numFmtId="0" fontId="7" fillId="0" borderId="0" xfId="2" applyFont="1" applyFill="1" applyAlignment="1" applyProtection="1">
      <alignment horizontal="center" vertical="center"/>
    </xf>
    <xf numFmtId="0" fontId="7" fillId="0" borderId="0" xfId="2" applyFont="1" applyFill="1" applyAlignment="1" applyProtection="1">
      <alignment horizontal="left" vertical="center"/>
    </xf>
    <xf numFmtId="0" fontId="8" fillId="0" borderId="2" xfId="2" applyFont="1" applyBorder="1" applyAlignment="1">
      <alignment horizontal="left" vertical="center" wrapText="1"/>
    </xf>
    <xf numFmtId="0" fontId="8" fillId="0" borderId="3" xfId="2" applyFont="1" applyBorder="1" applyAlignment="1">
      <alignment horizontal="left" vertical="center" wrapText="1"/>
    </xf>
    <xf numFmtId="0" fontId="8" fillId="0" borderId="4" xfId="2" applyFont="1" applyBorder="1" applyAlignment="1">
      <alignment horizontal="left" vertical="center" wrapText="1"/>
    </xf>
    <xf numFmtId="0" fontId="8" fillId="0" borderId="1" xfId="2" applyFont="1" applyBorder="1" applyAlignment="1">
      <alignment horizontal="center" vertical="center" wrapText="1"/>
    </xf>
    <xf numFmtId="0" fontId="12" fillId="0" borderId="0" xfId="2" applyFont="1" applyFill="1" applyAlignment="1" applyProtection="1">
      <alignment horizontal="center" vertical="center" wrapText="1"/>
    </xf>
    <xf numFmtId="0" fontId="12" fillId="0" borderId="0" xfId="1" applyFont="1" applyAlignment="1">
      <alignment horizontal="center" vertical="center"/>
    </xf>
    <xf numFmtId="0" fontId="12" fillId="0" borderId="0" xfId="1" applyFont="1" applyFill="1" applyAlignment="1" applyProtection="1">
      <alignment horizontal="center" vertical="center" wrapText="1"/>
    </xf>
    <xf numFmtId="0" fontId="20" fillId="0" borderId="5" xfId="1" applyFont="1" applyFill="1" applyBorder="1" applyAlignment="1" applyProtection="1">
      <alignment horizontal="left" vertical="center" wrapText="1"/>
    </xf>
    <xf numFmtId="181" fontId="8" fillId="0" borderId="6" xfId="1" applyNumberFormat="1" applyFont="1" applyFill="1" applyBorder="1" applyAlignment="1" applyProtection="1">
      <alignment horizontal="center" vertical="center" wrapText="1"/>
    </xf>
    <xf numFmtId="181" fontId="8" fillId="0" borderId="16" xfId="1" applyNumberFormat="1" applyFont="1" applyFill="1" applyBorder="1" applyAlignment="1" applyProtection="1">
      <alignment horizontal="center" vertical="center" wrapText="1"/>
    </xf>
    <xf numFmtId="181" fontId="8" fillId="0" borderId="17" xfId="1" applyNumberFormat="1" applyFont="1" applyFill="1" applyBorder="1" applyAlignment="1" applyProtection="1">
      <alignment horizontal="center" vertical="center" wrapText="1"/>
    </xf>
    <xf numFmtId="181" fontId="0" fillId="0" borderId="6" xfId="0" applyNumberFormat="1" applyBorder="1" applyAlignment="1">
      <alignment horizontal="center" vertical="center"/>
    </xf>
    <xf numFmtId="181" fontId="0" fillId="0" borderId="16" xfId="0" applyNumberFormat="1" applyBorder="1" applyAlignment="1">
      <alignment horizontal="center" vertical="center"/>
    </xf>
    <xf numFmtId="181" fontId="0" fillId="0" borderId="17" xfId="0" applyNumberFormat="1" applyBorder="1" applyAlignment="1">
      <alignment horizontal="center" vertical="center"/>
    </xf>
    <xf numFmtId="0" fontId="39" fillId="0" borderId="1" xfId="0" applyFont="1" applyBorder="1" applyAlignment="1">
      <alignment horizontal="center" vertical="center"/>
    </xf>
    <xf numFmtId="0" fontId="0" fillId="0" borderId="1" xfId="0" applyBorder="1" applyAlignment="1">
      <alignment horizontal="center" vertical="center"/>
    </xf>
    <xf numFmtId="177" fontId="8" fillId="0" borderId="1" xfId="1" applyNumberFormat="1" applyFont="1" applyFill="1" applyBorder="1" applyAlignment="1">
      <alignment horizontal="center" vertical="center"/>
    </xf>
    <xf numFmtId="0" fontId="8" fillId="0" borderId="1"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12" fillId="0" borderId="0" xfId="1" applyFont="1" applyFill="1" applyBorder="1" applyAlignment="1">
      <alignment horizontal="center" vertical="center"/>
    </xf>
    <xf numFmtId="0" fontId="5" fillId="0" borderId="0" xfId="2" applyFont="1" applyAlignment="1">
      <alignment horizontal="center" vertical="center" wrapText="1"/>
    </xf>
    <xf numFmtId="0" fontId="18" fillId="0" borderId="10"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9" xfId="2" applyFont="1" applyBorder="1" applyAlignment="1">
      <alignment horizontal="center" vertical="center" wrapText="1"/>
    </xf>
    <xf numFmtId="0" fontId="9" fillId="0" borderId="0"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5" xfId="2" applyFont="1" applyBorder="1" applyAlignment="1">
      <alignment horizontal="center" vertical="center" wrapText="1"/>
    </xf>
    <xf numFmtId="0" fontId="9" fillId="0" borderId="15" xfId="2" applyFont="1" applyBorder="1" applyAlignment="1">
      <alignment horizontal="center" vertical="center" wrapText="1"/>
    </xf>
    <xf numFmtId="0" fontId="9" fillId="0" borderId="10" xfId="2" applyFont="1" applyBorder="1" applyAlignment="1">
      <alignment horizontal="center" vertical="center" wrapText="1"/>
    </xf>
    <xf numFmtId="0" fontId="10" fillId="0" borderId="10" xfId="2" applyFont="1" applyBorder="1" applyAlignment="1">
      <alignment horizontal="center" vertical="center" wrapText="1"/>
    </xf>
    <xf numFmtId="0" fontId="10" fillId="0" borderId="11" xfId="2" applyFont="1" applyBorder="1" applyAlignment="1">
      <alignment horizontal="center" vertical="center" wrapText="1"/>
    </xf>
    <xf numFmtId="0" fontId="10" fillId="0" borderId="12" xfId="2" applyFont="1" applyBorder="1" applyAlignment="1">
      <alignment horizontal="center" vertical="center" wrapText="1"/>
    </xf>
    <xf numFmtId="0" fontId="10" fillId="0" borderId="9"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13" xfId="2" applyFont="1" applyBorder="1" applyAlignment="1">
      <alignment horizontal="center" vertical="center" wrapText="1"/>
    </xf>
    <xf numFmtId="0" fontId="10" fillId="0" borderId="14" xfId="2" applyFont="1" applyBorder="1" applyAlignment="1">
      <alignment horizontal="center" vertical="center" wrapText="1"/>
    </xf>
    <xf numFmtId="0" fontId="10" fillId="0" borderId="5" xfId="2" applyFont="1" applyBorder="1" applyAlignment="1">
      <alignment horizontal="center" vertical="center" wrapText="1"/>
    </xf>
    <xf numFmtId="0" fontId="10" fillId="0" borderId="15" xfId="2" applyFont="1" applyBorder="1" applyAlignment="1">
      <alignment horizontal="center" vertical="center" wrapText="1"/>
    </xf>
  </cellXfs>
  <cellStyles count="5">
    <cellStyle name="常规" xfId="0" builtinId="0"/>
    <cellStyle name="常规 2" xfId="1"/>
    <cellStyle name="常规 3" xfId="2"/>
    <cellStyle name="千位分隔 2" xfId="3"/>
    <cellStyle name="千位分隔 3" xfId="4"/>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37089;&#31041;&#23398;&#26657;&#65289;&#31185;&#30446;&#20313;&#39069;&#34920;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665;&#21150;&#25945;&#32946;&#22522;&#30784;&#34920;&#26684;(&#37089;&#31041;&#23398;&#2665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科目余额表"/>
    </sheetNames>
    <sheetDataSet>
      <sheetData sheetId="0">
        <row r="179">
          <cell r="H179">
            <v>50000</v>
          </cell>
        </row>
        <row r="182">
          <cell r="H182">
            <v>17024.46</v>
          </cell>
        </row>
        <row r="183">
          <cell r="H183">
            <v>-4986.66</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基本情况表"/>
      <sheetName val="收入情况表OK"/>
      <sheetName val="教育成本归集表"/>
      <sheetName val="教育培养成本核定表"/>
      <sheetName val="学生人数核定表"/>
      <sheetName val="教职工人数核定表"/>
      <sheetName val="薪酬核定表"/>
      <sheetName val="固定资产折旧计算表"/>
      <sheetName val="承若书"/>
    </sheetNames>
    <sheetDataSet>
      <sheetData sheetId="0"/>
      <sheetData sheetId="1">
        <row r="10">
          <cell r="B10">
            <v>465</v>
          </cell>
        </row>
        <row r="11">
          <cell r="B11">
            <v>144</v>
          </cell>
        </row>
        <row r="18">
          <cell r="B18">
            <v>12</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10"/>
  <sheetViews>
    <sheetView workbookViewId="0">
      <selection activeCell="B4" sqref="B4"/>
    </sheetView>
  </sheetViews>
  <sheetFormatPr defaultColWidth="9" defaultRowHeight="13.5"/>
  <cols>
    <col min="1" max="1" width="27.125" customWidth="1"/>
    <col min="2" max="2" width="35.75" customWidth="1"/>
  </cols>
  <sheetData>
    <row r="1" spans="1:2" ht="25.5">
      <c r="A1" s="143" t="s">
        <v>0</v>
      </c>
      <c r="B1" s="143"/>
    </row>
    <row r="2" spans="1:2" ht="20.25">
      <c r="A2" s="144" t="s">
        <v>1</v>
      </c>
      <c r="B2" s="144"/>
    </row>
    <row r="3" spans="1:2" ht="21">
      <c r="A3" s="113" t="s">
        <v>2</v>
      </c>
      <c r="B3" s="114" t="s">
        <v>3</v>
      </c>
    </row>
    <row r="4" spans="1:2" ht="20.25">
      <c r="A4" s="113" t="s">
        <v>4</v>
      </c>
      <c r="B4" s="114" t="s">
        <v>5</v>
      </c>
    </row>
    <row r="5" spans="1:2" ht="20.25">
      <c r="A5" s="113" t="s">
        <v>6</v>
      </c>
      <c r="B5" s="114" t="s">
        <v>7</v>
      </c>
    </row>
    <row r="6" spans="1:2" ht="21">
      <c r="A6" s="113" t="s">
        <v>8</v>
      </c>
      <c r="B6" s="114" t="s">
        <v>9</v>
      </c>
    </row>
    <row r="7" spans="1:2" ht="30">
      <c r="A7" s="113" t="s">
        <v>10</v>
      </c>
      <c r="B7" s="114" t="s">
        <v>11</v>
      </c>
    </row>
    <row r="8" spans="1:2" ht="20.25">
      <c r="A8" s="113" t="s">
        <v>12</v>
      </c>
      <c r="B8" s="115">
        <v>426100</v>
      </c>
    </row>
    <row r="9" spans="1:2" ht="42" customHeight="1">
      <c r="A9" s="113" t="s">
        <v>13</v>
      </c>
      <c r="B9" s="115" t="s">
        <v>14</v>
      </c>
    </row>
    <row r="10" spans="1:2" ht="45.75" customHeight="1">
      <c r="A10" s="113" t="s">
        <v>15</v>
      </c>
      <c r="B10" s="116">
        <v>44754</v>
      </c>
    </row>
  </sheetData>
  <mergeCells count="2">
    <mergeCell ref="A1:B1"/>
    <mergeCell ref="A2:B2"/>
  </mergeCells>
  <phoneticPr fontId="38" type="noConversion"/>
  <pageMargins left="1.48" right="0.7" top="1.45" bottom="0.75" header="0.25" footer="0.3"/>
  <pageSetup paperSize="9" orientation="portrait" r:id="rId1"/>
</worksheet>
</file>

<file path=xl/worksheets/sheet10.xml><?xml version="1.0" encoding="utf-8"?>
<worksheet xmlns="http://schemas.openxmlformats.org/spreadsheetml/2006/main" xmlns:r="http://schemas.openxmlformats.org/officeDocument/2006/relationships">
  <dimension ref="A1:A13"/>
  <sheetViews>
    <sheetView workbookViewId="0">
      <selection activeCell="A13" sqref="A13"/>
    </sheetView>
  </sheetViews>
  <sheetFormatPr defaultColWidth="9" defaultRowHeight="13.5"/>
  <cols>
    <col min="1" max="1" width="83.625" customWidth="1"/>
  </cols>
  <sheetData>
    <row r="1" spans="1:1" ht="74.25" customHeight="1">
      <c r="A1" s="1" t="s">
        <v>226</v>
      </c>
    </row>
    <row r="2" spans="1:1" ht="59.25">
      <c r="A2" s="2" t="s">
        <v>227</v>
      </c>
    </row>
    <row r="3" spans="1:1" ht="19.5">
      <c r="A3" s="2" t="s">
        <v>228</v>
      </c>
    </row>
    <row r="4" spans="1:1" ht="39">
      <c r="A4" s="2" t="s">
        <v>229</v>
      </c>
    </row>
    <row r="5" spans="1:1" ht="19.5">
      <c r="A5" s="3"/>
    </row>
    <row r="9" spans="1:1" ht="19.5">
      <c r="A9" s="4"/>
    </row>
    <row r="10" spans="1:1" ht="19.5">
      <c r="A10" s="4"/>
    </row>
    <row r="11" spans="1:1" ht="36.75" customHeight="1">
      <c r="A11" s="4" t="s">
        <v>230</v>
      </c>
    </row>
    <row r="12" spans="1:1" ht="32.25" customHeight="1">
      <c r="A12" s="2" t="s">
        <v>231</v>
      </c>
    </row>
    <row r="13" spans="1:1" ht="55.5" customHeight="1">
      <c r="A13" s="5" t="s">
        <v>232</v>
      </c>
    </row>
  </sheetData>
  <phoneticPr fontId="38" type="noConversion"/>
  <pageMargins left="0.70866141732283505" right="0.70866141732283505" top="1.5354330708661399"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dimension ref="A1:G34"/>
  <sheetViews>
    <sheetView workbookViewId="0">
      <pane xSplit="6" ySplit="4" topLeftCell="G17" activePane="bottomRight" state="frozen"/>
      <selection pane="topRight"/>
      <selection pane="bottomLeft"/>
      <selection pane="bottomRight" activeCell="B10" sqref="B10"/>
    </sheetView>
  </sheetViews>
  <sheetFormatPr defaultColWidth="9" defaultRowHeight="13.5"/>
  <cols>
    <col min="1" max="1" width="26.5" customWidth="1"/>
    <col min="2" max="2" width="17" style="89" customWidth="1"/>
    <col min="3" max="3" width="16.75" customWidth="1"/>
    <col min="4" max="4" width="17" customWidth="1"/>
    <col min="5" max="5" width="11.125" customWidth="1"/>
  </cols>
  <sheetData>
    <row r="1" spans="1:7" ht="20.25">
      <c r="A1" s="90" t="s">
        <v>16</v>
      </c>
      <c r="B1" s="91"/>
      <c r="C1" s="73"/>
    </row>
    <row r="2" spans="1:7" ht="25.5">
      <c r="A2" s="145" t="s">
        <v>291</v>
      </c>
      <c r="B2" s="145"/>
      <c r="C2" s="145"/>
      <c r="D2" s="145"/>
      <c r="E2" s="145"/>
    </row>
    <row r="3" spans="1:7" ht="15.75">
      <c r="A3" s="146" t="s">
        <v>17</v>
      </c>
      <c r="B3" s="147"/>
      <c r="C3" s="148"/>
    </row>
    <row r="4" spans="1:7" ht="19.5" customHeight="1">
      <c r="A4" s="92" t="s">
        <v>18</v>
      </c>
      <c r="B4" s="92" t="s">
        <v>19</v>
      </c>
      <c r="C4" s="93" t="s">
        <v>20</v>
      </c>
      <c r="D4" s="93" t="s">
        <v>21</v>
      </c>
      <c r="E4" s="93" t="s">
        <v>22</v>
      </c>
      <c r="G4" s="77"/>
    </row>
    <row r="5" spans="1:7" ht="19.5" customHeight="1">
      <c r="A5" s="94" t="s">
        <v>23</v>
      </c>
      <c r="B5" s="92">
        <f>SUM(B6:B8)</f>
        <v>16</v>
      </c>
      <c r="C5" s="92">
        <f>SUM(C6:C8)</f>
        <v>50</v>
      </c>
      <c r="D5" s="92">
        <f>SUM(D6:D8)</f>
        <v>74</v>
      </c>
      <c r="E5" s="149" t="s">
        <v>24</v>
      </c>
    </row>
    <row r="6" spans="1:7" ht="19.5" customHeight="1">
      <c r="A6" s="95" t="s">
        <v>25</v>
      </c>
      <c r="B6" s="96">
        <v>13</v>
      </c>
      <c r="C6" s="97">
        <f>15+22</f>
        <v>37</v>
      </c>
      <c r="D6" s="97">
        <f>24+23</f>
        <v>47</v>
      </c>
      <c r="E6" s="150"/>
    </row>
    <row r="7" spans="1:7" ht="19.5" customHeight="1">
      <c r="A7" s="95" t="s">
        <v>26</v>
      </c>
      <c r="B7" s="96">
        <v>3</v>
      </c>
      <c r="C7" s="97">
        <f>3+10</f>
        <v>13</v>
      </c>
      <c r="D7" s="97">
        <f>10+17</f>
        <v>27</v>
      </c>
      <c r="E7" s="150"/>
    </row>
    <row r="8" spans="1:7" ht="19.5" customHeight="1">
      <c r="A8" s="98" t="s">
        <v>27</v>
      </c>
      <c r="B8" s="99"/>
      <c r="C8" s="97"/>
      <c r="D8" s="97"/>
      <c r="E8" s="150"/>
    </row>
    <row r="9" spans="1:7" ht="19.5" customHeight="1">
      <c r="A9" s="94" t="s">
        <v>28</v>
      </c>
      <c r="B9" s="92">
        <f>SUM(B10:B12)</f>
        <v>609</v>
      </c>
      <c r="C9" s="92">
        <f>SUM(C10:C12)</f>
        <v>2116</v>
      </c>
      <c r="D9" s="92">
        <f>SUM(D10:D12)</f>
        <v>3103</v>
      </c>
      <c r="E9" s="150"/>
    </row>
    <row r="10" spans="1:7" ht="19.5" customHeight="1">
      <c r="A10" s="95" t="s">
        <v>25</v>
      </c>
      <c r="B10" s="96">
        <v>465</v>
      </c>
      <c r="C10" s="100">
        <f>618+914</f>
        <v>1532</v>
      </c>
      <c r="D10" s="100">
        <f>967+929</f>
        <v>1896</v>
      </c>
      <c r="E10" s="150"/>
    </row>
    <row r="11" spans="1:7" ht="19.5" customHeight="1">
      <c r="A11" s="95" t="s">
        <v>26</v>
      </c>
      <c r="B11" s="96">
        <v>144</v>
      </c>
      <c r="C11" s="100">
        <f>156+428</f>
        <v>584</v>
      </c>
      <c r="D11" s="100">
        <f>443+764</f>
        <v>1207</v>
      </c>
      <c r="E11" s="150"/>
    </row>
    <row r="12" spans="1:7" ht="19.5" customHeight="1">
      <c r="A12" s="98" t="s">
        <v>29</v>
      </c>
      <c r="B12" s="99"/>
      <c r="C12" s="100"/>
      <c r="D12" s="100"/>
      <c r="E12" s="150"/>
    </row>
    <row r="13" spans="1:7" ht="19.5" customHeight="1">
      <c r="A13" s="101" t="s">
        <v>30</v>
      </c>
      <c r="B13" s="102"/>
      <c r="C13" s="102"/>
      <c r="D13" s="102"/>
      <c r="E13" s="151"/>
    </row>
    <row r="14" spans="1:7" ht="19.5" customHeight="1">
      <c r="A14" s="103" t="s">
        <v>31</v>
      </c>
      <c r="B14" s="19">
        <f>B15+B24</f>
        <v>107</v>
      </c>
      <c r="C14" s="19">
        <f>C15+C24</f>
        <v>387</v>
      </c>
      <c r="D14" s="19">
        <f>D15+D24</f>
        <v>463</v>
      </c>
      <c r="E14" s="152" t="s">
        <v>32</v>
      </c>
    </row>
    <row r="15" spans="1:7" ht="19.5" customHeight="1">
      <c r="A15" s="104" t="s">
        <v>33</v>
      </c>
      <c r="B15" s="105">
        <f>B16+B21+B22+B23</f>
        <v>94</v>
      </c>
      <c r="C15" s="105">
        <f>C16+C21+C22+C23</f>
        <v>281</v>
      </c>
      <c r="D15" s="105">
        <f>D16+D21+D22+D23</f>
        <v>357</v>
      </c>
      <c r="E15" s="152"/>
    </row>
    <row r="16" spans="1:7" ht="19.5" customHeight="1">
      <c r="A16" s="106" t="s">
        <v>34</v>
      </c>
      <c r="B16" s="105">
        <f>SUM(B17:B19)</f>
        <v>42</v>
      </c>
      <c r="C16" s="105">
        <f>SUM(C17:C19)</f>
        <v>136</v>
      </c>
      <c r="D16" s="105">
        <f>SUM(D17:D19)</f>
        <v>197</v>
      </c>
      <c r="E16" s="152"/>
    </row>
    <row r="17" spans="1:5" ht="19.5" customHeight="1">
      <c r="A17" s="107" t="s">
        <v>35</v>
      </c>
      <c r="B17" s="105">
        <v>30</v>
      </c>
      <c r="C17" s="97">
        <f>37+53</f>
        <v>90</v>
      </c>
      <c r="D17" s="97">
        <f>56+60</f>
        <v>116</v>
      </c>
      <c r="E17" s="152"/>
    </row>
    <row r="18" spans="1:5" ht="19.5" customHeight="1">
      <c r="A18" s="107" t="s">
        <v>36</v>
      </c>
      <c r="B18" s="105">
        <v>12</v>
      </c>
      <c r="C18" s="97">
        <f>13+33</f>
        <v>46</v>
      </c>
      <c r="D18" s="97">
        <f>33+48</f>
        <v>81</v>
      </c>
      <c r="E18" s="152"/>
    </row>
    <row r="19" spans="1:5" ht="19.5" customHeight="1">
      <c r="A19" s="107" t="s">
        <v>37</v>
      </c>
      <c r="B19" s="105"/>
      <c r="C19" s="97"/>
      <c r="D19" s="97"/>
      <c r="E19" s="152"/>
    </row>
    <row r="20" spans="1:5" ht="19.5" customHeight="1">
      <c r="A20" s="108" t="s">
        <v>38</v>
      </c>
      <c r="B20" s="109"/>
      <c r="C20" s="97"/>
      <c r="D20" s="97"/>
      <c r="E20" s="152"/>
    </row>
    <row r="21" spans="1:5" ht="19.5" customHeight="1">
      <c r="A21" s="106" t="s">
        <v>39</v>
      </c>
      <c r="B21" s="105">
        <v>6</v>
      </c>
      <c r="C21" s="97">
        <f>8+10+22*2</f>
        <v>62</v>
      </c>
      <c r="D21" s="97">
        <f>15+11+24*2</f>
        <v>74</v>
      </c>
      <c r="E21" s="152"/>
    </row>
    <row r="22" spans="1:5" ht="19.5" customHeight="1">
      <c r="A22" s="106" t="s">
        <v>40</v>
      </c>
      <c r="B22" s="105">
        <v>4</v>
      </c>
      <c r="C22" s="97">
        <f>4+3</f>
        <v>7</v>
      </c>
      <c r="D22" s="97">
        <f>5+5</f>
        <v>10</v>
      </c>
      <c r="E22" s="152"/>
    </row>
    <row r="23" spans="1:5" ht="19.5" customHeight="1">
      <c r="A23" s="106" t="s">
        <v>41</v>
      </c>
      <c r="B23" s="105">
        <v>42</v>
      </c>
      <c r="C23" s="97">
        <f>34*2+4*2</f>
        <v>76</v>
      </c>
      <c r="D23" s="97">
        <f>32*2+6*2</f>
        <v>76</v>
      </c>
      <c r="E23" s="152"/>
    </row>
    <row r="24" spans="1:5" ht="19.5" customHeight="1">
      <c r="A24" s="25" t="s">
        <v>42</v>
      </c>
      <c r="B24" s="97">
        <f>SUM(B25:B28)</f>
        <v>13</v>
      </c>
      <c r="C24" s="97">
        <f>SUM(C25:C28)</f>
        <v>106</v>
      </c>
      <c r="D24" s="97">
        <f>SUM(D25:D28)</f>
        <v>106</v>
      </c>
      <c r="E24" s="152"/>
    </row>
    <row r="25" spans="1:5" ht="19.5" customHeight="1">
      <c r="A25" s="25" t="s">
        <v>43</v>
      </c>
      <c r="B25" s="97"/>
      <c r="C25" s="25"/>
      <c r="D25" s="97"/>
      <c r="E25" s="152"/>
    </row>
    <row r="26" spans="1:5" ht="19.5" customHeight="1">
      <c r="A26" s="25" t="s">
        <v>44</v>
      </c>
      <c r="B26" s="97"/>
      <c r="C26" s="25"/>
      <c r="D26" s="97"/>
      <c r="E26" s="152"/>
    </row>
    <row r="27" spans="1:5" ht="19.5" customHeight="1">
      <c r="A27" s="25" t="s">
        <v>45</v>
      </c>
      <c r="B27" s="97">
        <v>13</v>
      </c>
      <c r="C27" s="97">
        <f>10+9+10+9+34*2</f>
        <v>106</v>
      </c>
      <c r="D27" s="97">
        <f>10+9+10+9+34*2</f>
        <v>106</v>
      </c>
      <c r="E27" s="152"/>
    </row>
    <row r="28" spans="1:5" ht="19.5" customHeight="1">
      <c r="A28" s="25" t="s">
        <v>46</v>
      </c>
      <c r="B28" s="97"/>
      <c r="C28" s="25"/>
      <c r="D28" s="25"/>
      <c r="E28" s="152"/>
    </row>
    <row r="29" spans="1:5" ht="30" customHeight="1">
      <c r="A29" s="8" t="s">
        <v>47</v>
      </c>
      <c r="B29" s="110">
        <f>SUM(B30:B34)</f>
        <v>642369.79</v>
      </c>
      <c r="C29" s="110">
        <f>SUM(C30:C34)</f>
        <v>1705324</v>
      </c>
      <c r="D29" s="110">
        <f>SUM(D30:D34)</f>
        <v>1212618.03</v>
      </c>
      <c r="E29" s="25"/>
    </row>
    <row r="30" spans="1:5" ht="19.5" customHeight="1">
      <c r="A30" s="104" t="s">
        <v>48</v>
      </c>
      <c r="B30" s="105"/>
      <c r="C30" s="105"/>
      <c r="D30" s="105"/>
      <c r="E30" s="25"/>
    </row>
    <row r="31" spans="1:5" ht="19.5" customHeight="1">
      <c r="A31" s="104" t="s">
        <v>49</v>
      </c>
      <c r="B31" s="105">
        <f>145512.65+7646.22+17452.76+18197.67</f>
        <v>188809.3</v>
      </c>
      <c r="C31" s="25">
        <f>251855.55+8646.54+10954.75+20022.36+15841.27</f>
        <v>307320.46999999997</v>
      </c>
      <c r="D31" s="25">
        <f>184619.66+4714.86+13091.91+10684.68+12060.07</f>
        <v>225171.18</v>
      </c>
      <c r="E31" s="25"/>
    </row>
    <row r="32" spans="1:5" ht="19.5" customHeight="1">
      <c r="A32" s="104" t="s">
        <v>50</v>
      </c>
      <c r="B32" s="105">
        <f>4600+110500</f>
        <v>115100</v>
      </c>
      <c r="C32" s="25">
        <f>3066.64+130833.36+149277.01+18031.12+518666.19</f>
        <v>819874.32</v>
      </c>
      <c r="D32" s="25">
        <f>1533.28+74333.4+90435.01+11044.48+317145.65</f>
        <v>494491.82</v>
      </c>
      <c r="E32" s="25"/>
    </row>
    <row r="33" spans="1:5" ht="19.5" customHeight="1">
      <c r="A33" s="104" t="s">
        <v>51</v>
      </c>
      <c r="B33" s="105">
        <f>179941+15391.16+8100+111362.5+23665.83</f>
        <v>338460.49</v>
      </c>
      <c r="C33" s="25">
        <f>144919.21+42424.02+7213.32+254864.16+128708.5</f>
        <v>578129.21</v>
      </c>
      <c r="D33" s="25">
        <f>106974.25+31544.78+3833.28+136826.39+213776.33</f>
        <v>492955.03</v>
      </c>
      <c r="E33" s="25"/>
    </row>
    <row r="34" spans="1:5" ht="19.5" customHeight="1">
      <c r="A34" s="111" t="s">
        <v>52</v>
      </c>
      <c r="B34" s="112"/>
      <c r="C34" s="25"/>
      <c r="D34" s="25"/>
      <c r="E34" s="25"/>
    </row>
  </sheetData>
  <mergeCells count="4">
    <mergeCell ref="A2:E2"/>
    <mergeCell ref="A3:C3"/>
    <mergeCell ref="E5:E13"/>
    <mergeCell ref="E14:E28"/>
  </mergeCells>
  <phoneticPr fontId="38"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dimension ref="A1:E26"/>
  <sheetViews>
    <sheetView tabSelected="1" workbookViewId="0">
      <pane xSplit="4" ySplit="4" topLeftCell="E5" activePane="bottomRight" state="frozen"/>
      <selection pane="topRight"/>
      <selection pane="bottomLeft"/>
      <selection pane="bottomRight" activeCell="D23" sqref="D23"/>
    </sheetView>
  </sheetViews>
  <sheetFormatPr defaultColWidth="9" defaultRowHeight="13.5"/>
  <cols>
    <col min="1" max="1" width="25.875" customWidth="1"/>
    <col min="2" max="4" width="18.875" customWidth="1"/>
  </cols>
  <sheetData>
    <row r="1" spans="1:5" ht="21">
      <c r="A1" s="72" t="s">
        <v>53</v>
      </c>
      <c r="B1" s="73"/>
    </row>
    <row r="2" spans="1:5" ht="25.5">
      <c r="A2" s="153" t="s">
        <v>292</v>
      </c>
      <c r="B2" s="153"/>
      <c r="C2" s="153"/>
      <c r="D2" s="153"/>
    </row>
    <row r="3" spans="1:5">
      <c r="A3" s="74" t="s">
        <v>54</v>
      </c>
      <c r="B3" s="75"/>
    </row>
    <row r="4" spans="1:5" ht="36" customHeight="1">
      <c r="A4" s="76" t="s">
        <v>55</v>
      </c>
      <c r="B4" s="76" t="s">
        <v>56</v>
      </c>
      <c r="C4" s="76" t="s">
        <v>57</v>
      </c>
      <c r="D4" s="76" t="s">
        <v>58</v>
      </c>
      <c r="E4" s="77"/>
    </row>
    <row r="5" spans="1:5" ht="22.5" customHeight="1">
      <c r="A5" s="78" t="s">
        <v>59</v>
      </c>
      <c r="B5" s="79">
        <f>B6</f>
        <v>191700</v>
      </c>
      <c r="C5" s="79">
        <f>C6</f>
        <v>731400</v>
      </c>
      <c r="D5" s="79">
        <f>D6</f>
        <v>1034600</v>
      </c>
    </row>
    <row r="6" spans="1:5" ht="22.5" customHeight="1">
      <c r="A6" s="80" t="s">
        <v>60</v>
      </c>
      <c r="B6" s="81">
        <v>191700</v>
      </c>
      <c r="C6" s="81">
        <f>240000+491400</f>
        <v>731400</v>
      </c>
      <c r="D6" s="81">
        <f>480000+554600</f>
        <v>1034600</v>
      </c>
    </row>
    <row r="7" spans="1:5" ht="22.5" customHeight="1">
      <c r="A7" s="80" t="s">
        <v>61</v>
      </c>
      <c r="B7" s="81"/>
      <c r="C7" s="81"/>
      <c r="D7" s="81"/>
    </row>
    <row r="8" spans="1:5" ht="22.5" customHeight="1">
      <c r="A8" s="80" t="s">
        <v>62</v>
      </c>
      <c r="B8" s="81"/>
      <c r="C8" s="81"/>
      <c r="D8" s="81"/>
    </row>
    <row r="9" spans="1:5" ht="22.5" customHeight="1">
      <c r="A9" s="80" t="s">
        <v>63</v>
      </c>
      <c r="B9" s="81"/>
      <c r="C9" s="81"/>
      <c r="D9" s="81"/>
    </row>
    <row r="10" spans="1:5" ht="22.5" customHeight="1">
      <c r="A10" s="78" t="s">
        <v>64</v>
      </c>
      <c r="B10" s="81"/>
      <c r="C10" s="81"/>
      <c r="D10" s="81"/>
    </row>
    <row r="11" spans="1:5" ht="22.5" customHeight="1">
      <c r="A11" s="78" t="s">
        <v>65</v>
      </c>
      <c r="B11" s="79">
        <f>B12+B21</f>
        <v>7279600</v>
      </c>
      <c r="C11" s="79">
        <f>C12+C21</f>
        <v>20166605.5</v>
      </c>
      <c r="D11" s="79">
        <f>D12+D21</f>
        <v>39104125.5</v>
      </c>
    </row>
    <row r="12" spans="1:5" ht="22.5" customHeight="1">
      <c r="A12" s="80" t="s">
        <v>66</v>
      </c>
      <c r="B12" s="81">
        <f>B13+B18+B19+B20</f>
        <v>7279600</v>
      </c>
      <c r="C12" s="81">
        <f>C13+C18+C19+C20</f>
        <v>20166605.5</v>
      </c>
      <c r="D12" s="81">
        <f>D13+D18+D19+D20</f>
        <v>39104125.5</v>
      </c>
    </row>
    <row r="13" spans="1:5" ht="22.5" customHeight="1">
      <c r="A13" s="80" t="s">
        <v>67</v>
      </c>
      <c r="B13" s="81">
        <f>SUM(B14:B17)</f>
        <v>3331500</v>
      </c>
      <c r="C13" s="81">
        <f>SUM(C14:C17)</f>
        <v>11464880</v>
      </c>
      <c r="D13" s="81">
        <f>SUM(D14:D17)</f>
        <v>16921080</v>
      </c>
    </row>
    <row r="14" spans="1:5" ht="22.5" customHeight="1">
      <c r="A14" s="80" t="s">
        <v>68</v>
      </c>
      <c r="B14" s="82">
        <f>2691200-231500</f>
        <v>2459700</v>
      </c>
      <c r="C14" s="82">
        <f>3590780+5301200-309000-457000</f>
        <v>8125980</v>
      </c>
      <c r="D14" s="82">
        <f>5602800+5386200-463500-482000</f>
        <v>10043500</v>
      </c>
    </row>
    <row r="15" spans="1:5" ht="22.5" customHeight="1">
      <c r="A15" s="80" t="s">
        <v>69</v>
      </c>
      <c r="B15" s="82">
        <f>943800-72000</f>
        <v>871800</v>
      </c>
      <c r="C15" s="82">
        <f>1029600+2600800-77500-214000</f>
        <v>3338900</v>
      </c>
      <c r="D15" s="82">
        <f>2696600+4783980-382000-221000</f>
        <v>6877580</v>
      </c>
    </row>
    <row r="16" spans="1:5" ht="22.5" customHeight="1">
      <c r="A16" s="80" t="s">
        <v>70</v>
      </c>
      <c r="B16" s="81"/>
      <c r="C16" s="81"/>
      <c r="D16" s="81"/>
    </row>
    <row r="17" spans="1:5" ht="22.5" customHeight="1">
      <c r="A17" s="80" t="s">
        <v>71</v>
      </c>
      <c r="B17" s="81"/>
      <c r="C17" s="81"/>
      <c r="D17" s="81"/>
    </row>
    <row r="18" spans="1:5" ht="22.5" customHeight="1">
      <c r="A18" s="83" t="s">
        <v>72</v>
      </c>
      <c r="B18" s="81">
        <v>1456800</v>
      </c>
      <c r="C18" s="81">
        <f>1860068+3560200</f>
        <v>5420268</v>
      </c>
      <c r="D18" s="81">
        <f>3732800+4673900</f>
        <v>8406700</v>
      </c>
    </row>
    <row r="19" spans="1:5" ht="22.5" customHeight="1">
      <c r="A19" s="80" t="s">
        <v>73</v>
      </c>
      <c r="B19" s="81">
        <f>2187800+231500+72000</f>
        <v>2491300</v>
      </c>
      <c r="C19" s="81">
        <f>620000+2169600-5331600+2473650+1287600+1004707.5+309000+457000+77500+214000</f>
        <v>3281457.5</v>
      </c>
      <c r="D19" s="81">
        <f>3058400+3212400+1347400+1736400+2873245.5+463500+482000+382000+221000</f>
        <v>13776345.5</v>
      </c>
      <c r="E19" s="77"/>
    </row>
    <row r="20" spans="1:5" ht="22.5" customHeight="1">
      <c r="A20" s="84" t="s">
        <v>74</v>
      </c>
      <c r="B20" s="85"/>
      <c r="C20" s="85"/>
      <c r="D20" s="85"/>
    </row>
    <row r="21" spans="1:5" ht="22.5" customHeight="1">
      <c r="A21" s="139" t="s">
        <v>273</v>
      </c>
      <c r="B21" s="85"/>
      <c r="C21" s="85"/>
      <c r="D21" s="85"/>
    </row>
    <row r="22" spans="1:5" ht="22.5" customHeight="1">
      <c r="A22" s="86" t="s">
        <v>274</v>
      </c>
      <c r="B22" s="141">
        <f>B13/B12</f>
        <v>0.45764877191054454</v>
      </c>
      <c r="C22" s="141">
        <f t="shared" ref="C22" si="0">C13/C12</f>
        <v>0.56850817059916203</v>
      </c>
      <c r="D22" s="141">
        <f>D13/D12</f>
        <v>0.43271853758754941</v>
      </c>
    </row>
    <row r="23" spans="1:5" ht="22.5" customHeight="1">
      <c r="A23" s="86" t="s">
        <v>275</v>
      </c>
      <c r="B23" s="140">
        <f>B18/B11</f>
        <v>0.200120885762954</v>
      </c>
      <c r="C23" s="140">
        <f t="shared" ref="C23:D23" si="1">C18/C11</f>
        <v>0.26877443504312115</v>
      </c>
      <c r="D23" s="140">
        <f t="shared" si="1"/>
        <v>0.214982431968719</v>
      </c>
    </row>
    <row r="24" spans="1:5" ht="22.5" customHeight="1">
      <c r="A24" s="86" t="s">
        <v>276</v>
      </c>
      <c r="B24" s="140">
        <f>B19/B11</f>
        <v>0.34223034232650146</v>
      </c>
      <c r="C24" s="140">
        <f t="shared" ref="C24" si="2">C19/C11</f>
        <v>0.16271739435771676</v>
      </c>
      <c r="D24" s="140">
        <v>0.37</v>
      </c>
    </row>
    <row r="25" spans="1:5" ht="22.5" customHeight="1">
      <c r="A25" s="88"/>
      <c r="B25" s="87"/>
      <c r="C25" s="87"/>
      <c r="D25" s="87"/>
    </row>
    <row r="26" spans="1:5" ht="22.5" customHeight="1">
      <c r="A26" s="88"/>
      <c r="B26" s="87"/>
      <c r="C26" s="87"/>
      <c r="D26" s="87"/>
    </row>
  </sheetData>
  <mergeCells count="1">
    <mergeCell ref="A2:D2"/>
  </mergeCells>
  <phoneticPr fontId="38"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J55"/>
  <sheetViews>
    <sheetView workbookViewId="0">
      <pane xSplit="10" ySplit="4" topLeftCell="K35" activePane="bottomRight" state="frozen"/>
      <selection pane="topRight"/>
      <selection pane="bottomLeft"/>
      <selection pane="bottomRight" activeCell="J32" sqref="J32"/>
    </sheetView>
  </sheetViews>
  <sheetFormatPr defaultColWidth="9" defaultRowHeight="13.5"/>
  <cols>
    <col min="1" max="1" width="24.125" customWidth="1"/>
    <col min="2" max="2" width="13.5" customWidth="1"/>
    <col min="3" max="3" width="10.5" customWidth="1"/>
    <col min="4" max="5" width="13.5" customWidth="1"/>
    <col min="6" max="6" width="10.5" customWidth="1"/>
    <col min="7" max="8" width="13.5" customWidth="1"/>
    <col min="9" max="9" width="10.5" customWidth="1"/>
    <col min="10" max="10" width="13.5" customWidth="1"/>
  </cols>
  <sheetData>
    <row r="1" spans="1:10" ht="20.25">
      <c r="A1" s="60" t="s">
        <v>75</v>
      </c>
      <c r="B1" s="45"/>
      <c r="C1" s="45"/>
      <c r="D1" s="45"/>
    </row>
    <row r="2" spans="1:10" ht="25.5">
      <c r="A2" s="154" t="s">
        <v>293</v>
      </c>
      <c r="B2" s="154"/>
      <c r="C2" s="154"/>
      <c r="D2" s="154"/>
      <c r="E2" s="154"/>
      <c r="F2" s="154"/>
      <c r="G2" s="154"/>
      <c r="H2" s="154"/>
      <c r="I2" s="154"/>
      <c r="J2" s="154"/>
    </row>
    <row r="3" spans="1:10" ht="15.75">
      <c r="A3" s="61"/>
      <c r="B3" s="61"/>
      <c r="C3" s="61"/>
      <c r="D3" s="61"/>
      <c r="J3" t="s">
        <v>76</v>
      </c>
    </row>
    <row r="4" spans="1:10" ht="15.6" customHeight="1">
      <c r="A4" s="62" t="s">
        <v>77</v>
      </c>
      <c r="B4" s="62" t="s">
        <v>78</v>
      </c>
      <c r="C4" s="63" t="s">
        <v>79</v>
      </c>
      <c r="D4" s="64" t="s">
        <v>80</v>
      </c>
      <c r="E4" s="62" t="s">
        <v>81</v>
      </c>
      <c r="F4" s="63" t="s">
        <v>79</v>
      </c>
      <c r="G4" s="64" t="s">
        <v>82</v>
      </c>
      <c r="H4" s="62" t="s">
        <v>83</v>
      </c>
      <c r="I4" s="63" t="s">
        <v>79</v>
      </c>
      <c r="J4" s="64" t="s">
        <v>84</v>
      </c>
    </row>
    <row r="5" spans="1:10" ht="15.75">
      <c r="A5" s="65" t="s">
        <v>85</v>
      </c>
      <c r="B5" s="66">
        <f>SUM(B6:B11)</f>
        <v>5245836.5600000005</v>
      </c>
      <c r="C5" s="40">
        <f>D5-B5</f>
        <v>-3733533.5600000005</v>
      </c>
      <c r="D5" s="40">
        <f>D6+D9+D10</f>
        <v>1512303</v>
      </c>
      <c r="E5" s="66">
        <f>SUM(E6:E11)</f>
        <v>11378700.239999998</v>
      </c>
      <c r="F5" s="40">
        <f>G5-E5</f>
        <v>-4042367.3599999985</v>
      </c>
      <c r="G5" s="40">
        <f>G6+G9+G10</f>
        <v>7336332.8799999999</v>
      </c>
      <c r="H5" s="66">
        <f>SUM(H6:H11)</f>
        <v>18402060.309999999</v>
      </c>
      <c r="I5" s="40">
        <f>J5-H5</f>
        <v>-5638590.459999999</v>
      </c>
      <c r="J5" s="40">
        <f>J6+J9+J10</f>
        <v>12763469.85</v>
      </c>
    </row>
    <row r="6" spans="1:10" ht="15.75">
      <c r="A6" s="67" t="s">
        <v>277</v>
      </c>
      <c r="B6" s="40">
        <f>1859773.27+2293737.89+74800+89342+244603.24+302705.06</f>
        <v>4864961.46</v>
      </c>
      <c r="C6" s="40">
        <f t="shared" ref="C6:C54" si="0">D6-B6</f>
        <v>-3492401.46</v>
      </c>
      <c r="D6" s="40">
        <v>1372560</v>
      </c>
      <c r="E6" s="40">
        <f>7389307.13+1126333.81+68786+180663.85+348304+728703.86+735261.83</f>
        <v>10577360.479999999</v>
      </c>
      <c r="F6" s="40">
        <f t="shared" ref="F6:F55" si="1">G6-E6</f>
        <v>-3924560.4799999986</v>
      </c>
      <c r="G6" s="40">
        <v>6652800</v>
      </c>
      <c r="H6" s="40">
        <f>11373197.05+1291738.37+185708.93+204300+352167+1252595+1089786.51</f>
        <v>15749492.859999999</v>
      </c>
      <c r="I6" s="40">
        <f t="shared" ref="I6:I55" si="2">J6-H6</f>
        <v>-4668572.8599999994</v>
      </c>
      <c r="J6" s="40">
        <f>薪酬核定表!D26</f>
        <v>11080920</v>
      </c>
    </row>
    <row r="7" spans="1:10" ht="15.75">
      <c r="A7" s="67" t="s">
        <v>245</v>
      </c>
      <c r="B7" s="40">
        <v>293444.44</v>
      </c>
      <c r="C7" s="40">
        <f t="shared" si="0"/>
        <v>-101286.04000000001</v>
      </c>
      <c r="D7" s="40">
        <v>192158.4</v>
      </c>
      <c r="E7" s="40">
        <f>226250-E8</f>
        <v>50250</v>
      </c>
      <c r="F7" s="40">
        <f t="shared" si="1"/>
        <v>0</v>
      </c>
      <c r="G7" s="40">
        <v>50250</v>
      </c>
      <c r="H7" s="40">
        <f>593443.19-H8</f>
        <v>59430.499999999898</v>
      </c>
      <c r="I7" s="40">
        <v>0</v>
      </c>
      <c r="J7" s="40">
        <v>59430.5</v>
      </c>
    </row>
    <row r="8" spans="1:10" ht="15.75">
      <c r="A8" s="67" t="s">
        <v>86</v>
      </c>
      <c r="B8" s="40"/>
      <c r="C8" s="40">
        <f t="shared" si="0"/>
        <v>0</v>
      </c>
      <c r="D8" s="40"/>
      <c r="E8" s="40">
        <v>176000</v>
      </c>
      <c r="F8" s="40">
        <f t="shared" si="1"/>
        <v>-176000</v>
      </c>
      <c r="G8" s="40"/>
      <c r="H8" s="40">
        <f>35009.55+499003.14</f>
        <v>534012.68999999994</v>
      </c>
      <c r="I8" s="40">
        <f t="shared" si="2"/>
        <v>-534012.68999999994</v>
      </c>
      <c r="J8" s="40">
        <v>0</v>
      </c>
    </row>
    <row r="9" spans="1:10" ht="15.75">
      <c r="A9" s="67" t="s">
        <v>87</v>
      </c>
      <c r="B9" s="40">
        <f>71124+7366.66</f>
        <v>78490.66</v>
      </c>
      <c r="C9" s="40">
        <f t="shared" si="0"/>
        <v>-7375.6600000000035</v>
      </c>
      <c r="D9" s="40">
        <f>67158.8+3956.2</f>
        <v>71115</v>
      </c>
      <c r="E9" s="40">
        <f>350892.88+37309.6+41729.28</f>
        <v>429931.76</v>
      </c>
      <c r="F9" s="40">
        <f>G9-E9</f>
        <v>-79038.880000000005</v>
      </c>
      <c r="G9" s="40">
        <f>334212.1+16680.78</f>
        <v>350892.88</v>
      </c>
      <c r="H9" s="40">
        <f>1154393.85+311229.64+144202.07</f>
        <v>1609825.56</v>
      </c>
      <c r="I9" s="40">
        <f t="shared" si="2"/>
        <v>-455431.70999999996</v>
      </c>
      <c r="J9" s="40">
        <f>1144533.85+9860</f>
        <v>1154393.8500000001</v>
      </c>
    </row>
    <row r="10" spans="1:10" ht="15.75">
      <c r="A10" s="67" t="s">
        <v>88</v>
      </c>
      <c r="B10" s="40">
        <v>8940</v>
      </c>
      <c r="C10" s="40">
        <f t="shared" si="0"/>
        <v>59688</v>
      </c>
      <c r="D10" s="40">
        <v>68628</v>
      </c>
      <c r="E10" s="40">
        <v>138408</v>
      </c>
      <c r="F10" s="40">
        <f t="shared" si="1"/>
        <v>194232</v>
      </c>
      <c r="G10" s="40">
        <v>332640</v>
      </c>
      <c r="H10" s="40">
        <v>373533</v>
      </c>
      <c r="I10" s="40">
        <f t="shared" si="2"/>
        <v>154623</v>
      </c>
      <c r="J10" s="40">
        <v>528156</v>
      </c>
    </row>
    <row r="11" spans="1:10" ht="15.75">
      <c r="A11" s="67" t="s">
        <v>89</v>
      </c>
      <c r="B11" s="40"/>
      <c r="C11" s="40">
        <f t="shared" si="0"/>
        <v>0</v>
      </c>
      <c r="D11" s="40">
        <v>0</v>
      </c>
      <c r="E11" s="40">
        <v>6750</v>
      </c>
      <c r="F11" s="40">
        <f t="shared" si="1"/>
        <v>-6750</v>
      </c>
      <c r="G11" s="40">
        <v>0</v>
      </c>
      <c r="H11" s="40">
        <v>75765.7</v>
      </c>
      <c r="I11" s="40">
        <f t="shared" si="2"/>
        <v>-75765.7</v>
      </c>
      <c r="J11" s="40">
        <v>0</v>
      </c>
    </row>
    <row r="12" spans="1:10" ht="15.75">
      <c r="A12" s="65" t="s">
        <v>90</v>
      </c>
      <c r="B12" s="66">
        <f>SUM(B13:B36)</f>
        <v>3000235.42</v>
      </c>
      <c r="C12" s="40">
        <f t="shared" si="0"/>
        <v>-2108927.02</v>
      </c>
      <c r="D12" s="40">
        <f>D13+D14+D15+D16+D17+D18+D19+D20+D21+D22+D23+D24+D25+D26+D27+D28+D29+D30+D31+D32+D33+D34+D35+D36</f>
        <v>891308.4</v>
      </c>
      <c r="E12" s="66">
        <f>SUM(E13:E36)</f>
        <v>13561204.469999999</v>
      </c>
      <c r="F12" s="40">
        <f t="shared" si="1"/>
        <v>-11597332.379999999</v>
      </c>
      <c r="G12" s="40">
        <f>G13+G14+G15+G16+G17+G18+G19+G20+G21+G22+G23+G24+G25+G26+G27+G28+G29+G30+G31+G32+G33+G34+G35+G36</f>
        <v>1963872.0899999999</v>
      </c>
      <c r="H12" s="66">
        <f>SUM(H13:H36)</f>
        <v>24763747.990000002</v>
      </c>
      <c r="I12" s="40">
        <f t="shared" si="2"/>
        <v>-22483170.970000003</v>
      </c>
      <c r="J12" s="40">
        <f>J13+J14+J15+J16+J17+J18+J19+J20+J21+J22+J23+J24+J25+J26+J27+J28+J29+J30+J31+J32+J33+J34+J35+J36</f>
        <v>2280577.0199999996</v>
      </c>
    </row>
    <row r="13" spans="1:10" ht="15.75">
      <c r="A13" s="68" t="s">
        <v>91</v>
      </c>
      <c r="B13" s="40">
        <f>97815.22+671.26</f>
        <v>98486.48</v>
      </c>
      <c r="C13" s="40">
        <f t="shared" si="0"/>
        <v>-33571.259999999995</v>
      </c>
      <c r="D13" s="40">
        <v>64915.22</v>
      </c>
      <c r="E13" s="40">
        <f>81935.88+7895.52</f>
        <v>89831.400000000009</v>
      </c>
      <c r="F13" s="40">
        <f t="shared" si="1"/>
        <v>-7895.5200000000041</v>
      </c>
      <c r="G13" s="40">
        <v>81935.88</v>
      </c>
      <c r="H13" s="40">
        <f>256591.24+3719.25-29900.11-12000</f>
        <v>218410.38</v>
      </c>
      <c r="I13" s="40">
        <f t="shared" si="2"/>
        <v>38180.859999999986</v>
      </c>
      <c r="J13" s="40">
        <v>256591.24</v>
      </c>
    </row>
    <row r="14" spans="1:10" ht="15.75">
      <c r="A14" s="68" t="s">
        <v>92</v>
      </c>
      <c r="B14" s="40">
        <v>53342</v>
      </c>
      <c r="C14" s="40">
        <f t="shared" si="0"/>
        <v>0</v>
      </c>
      <c r="D14" s="40">
        <v>53342</v>
      </c>
      <c r="E14" s="40">
        <v>6752.6</v>
      </c>
      <c r="F14" s="40">
        <f t="shared" si="1"/>
        <v>0</v>
      </c>
      <c r="G14" s="40">
        <v>6752.6</v>
      </c>
      <c r="H14" s="40"/>
      <c r="I14" s="40">
        <f t="shared" si="2"/>
        <v>0</v>
      </c>
      <c r="J14" s="40"/>
    </row>
    <row r="15" spans="1:10" ht="15.75">
      <c r="A15" s="68" t="s">
        <v>93</v>
      </c>
      <c r="B15" s="40">
        <v>361600</v>
      </c>
      <c r="C15" s="40">
        <f t="shared" si="0"/>
        <v>-361600</v>
      </c>
      <c r="D15" s="40">
        <v>0</v>
      </c>
      <c r="E15" s="40">
        <v>517750</v>
      </c>
      <c r="F15" s="40">
        <f t="shared" si="1"/>
        <v>-517750</v>
      </c>
      <c r="G15" s="40">
        <v>0</v>
      </c>
      <c r="H15" s="40">
        <v>1592430</v>
      </c>
      <c r="I15" s="40">
        <f t="shared" si="2"/>
        <v>-1592430</v>
      </c>
      <c r="J15" s="40">
        <v>0</v>
      </c>
    </row>
    <row r="16" spans="1:10" ht="15.75">
      <c r="A16" s="68" t="s">
        <v>94</v>
      </c>
      <c r="B16" s="40"/>
      <c r="C16" s="40">
        <f t="shared" si="0"/>
        <v>0</v>
      </c>
      <c r="D16" s="40"/>
      <c r="E16" s="40"/>
      <c r="F16" s="40">
        <f t="shared" si="1"/>
        <v>0</v>
      </c>
      <c r="G16" s="40"/>
      <c r="H16" s="40"/>
      <c r="I16" s="40">
        <f t="shared" si="2"/>
        <v>0</v>
      </c>
      <c r="J16" s="40"/>
    </row>
    <row r="17" spans="1:10" ht="15.75">
      <c r="A17" s="68" t="s">
        <v>95</v>
      </c>
      <c r="B17" s="40">
        <f>7786.05+136556.21</f>
        <v>144342.25999999998</v>
      </c>
      <c r="C17" s="40">
        <f t="shared" si="0"/>
        <v>-136556.21</v>
      </c>
      <c r="D17" s="40">
        <v>7786.05</v>
      </c>
      <c r="E17" s="40">
        <v>40836.050000000003</v>
      </c>
      <c r="F17" s="40">
        <f t="shared" si="1"/>
        <v>1516.1999999999971</v>
      </c>
      <c r="G17" s="40">
        <v>42352.25</v>
      </c>
      <c r="H17" s="40">
        <f>31117.93+92341.4</f>
        <v>123459.32999999999</v>
      </c>
      <c r="I17" s="40">
        <f t="shared" si="2"/>
        <v>-89989.4</v>
      </c>
      <c r="J17" s="40">
        <v>33469.93</v>
      </c>
    </row>
    <row r="18" spans="1:10" ht="15.75">
      <c r="A18" s="68" t="s">
        <v>96</v>
      </c>
      <c r="B18" s="40">
        <v>85028.56</v>
      </c>
      <c r="C18" s="40">
        <f t="shared" si="0"/>
        <v>0</v>
      </c>
      <c r="D18" s="40">
        <v>85028.56</v>
      </c>
      <c r="E18" s="40">
        <v>172442.78</v>
      </c>
      <c r="F18" s="40">
        <f t="shared" si="1"/>
        <v>-1516.2000000000116</v>
      </c>
      <c r="G18" s="40">
        <v>170926.58</v>
      </c>
      <c r="H18" s="40">
        <f>96840.67+138142.53</f>
        <v>234983.2</v>
      </c>
      <c r="I18" s="40">
        <f t="shared" si="2"/>
        <v>-140494.53000000003</v>
      </c>
      <c r="J18" s="40">
        <v>94488.67</v>
      </c>
    </row>
    <row r="19" spans="1:10" ht="15.75">
      <c r="A19" s="68" t="s">
        <v>97</v>
      </c>
      <c r="B19" s="40">
        <v>152</v>
      </c>
      <c r="C19" s="40">
        <f t="shared" si="0"/>
        <v>0</v>
      </c>
      <c r="D19" s="40">
        <v>152</v>
      </c>
      <c r="E19" s="69">
        <v>7790.85</v>
      </c>
      <c r="F19" s="40">
        <f t="shared" si="1"/>
        <v>0</v>
      </c>
      <c r="G19" s="40">
        <v>7790.85</v>
      </c>
      <c r="H19" s="40">
        <v>924</v>
      </c>
      <c r="I19" s="40">
        <f t="shared" si="2"/>
        <v>34</v>
      </c>
      <c r="J19" s="40">
        <v>958</v>
      </c>
    </row>
    <row r="20" spans="1:10" ht="15.75">
      <c r="A20" s="68" t="s">
        <v>278</v>
      </c>
      <c r="B20" s="40"/>
      <c r="C20" s="40">
        <f t="shared" si="0"/>
        <v>32900</v>
      </c>
      <c r="D20" s="40">
        <v>32900</v>
      </c>
      <c r="E20" s="69"/>
      <c r="F20" s="40">
        <f t="shared" si="1"/>
        <v>33600</v>
      </c>
      <c r="G20" s="40">
        <v>33600</v>
      </c>
      <c r="H20" s="40"/>
      <c r="I20" s="40">
        <f t="shared" si="2"/>
        <v>24600</v>
      </c>
      <c r="J20" s="40">
        <v>24600</v>
      </c>
    </row>
    <row r="21" spans="1:10" ht="15.75">
      <c r="A21" s="68" t="s">
        <v>98</v>
      </c>
      <c r="B21" s="40">
        <v>116370.08</v>
      </c>
      <c r="C21" s="40">
        <f t="shared" si="0"/>
        <v>0</v>
      </c>
      <c r="D21" s="40">
        <v>116370.08</v>
      </c>
      <c r="E21" s="69">
        <f>31684.96+23544.91</f>
        <v>55229.87</v>
      </c>
      <c r="F21" s="40">
        <f t="shared" si="1"/>
        <v>-23544.910000000003</v>
      </c>
      <c r="G21" s="40">
        <v>31684.959999999999</v>
      </c>
      <c r="H21" s="40">
        <f>43207+19017.16</f>
        <v>62224.160000000003</v>
      </c>
      <c r="I21" s="40">
        <f t="shared" si="2"/>
        <v>-21432.240000000005</v>
      </c>
      <c r="J21" s="40">
        <v>40791.919999999998</v>
      </c>
    </row>
    <row r="22" spans="1:10" ht="15.75">
      <c r="A22" s="68" t="s">
        <v>247</v>
      </c>
      <c r="B22" s="40">
        <v>15534</v>
      </c>
      <c r="C22" s="40">
        <f t="shared" si="0"/>
        <v>0</v>
      </c>
      <c r="D22" s="40">
        <v>15534</v>
      </c>
      <c r="E22" s="69">
        <v>174739</v>
      </c>
      <c r="F22" s="40">
        <f t="shared" si="1"/>
        <v>0</v>
      </c>
      <c r="G22" s="40">
        <f>169700+5039</f>
        <v>174739</v>
      </c>
      <c r="H22" s="40"/>
      <c r="I22" s="40">
        <f t="shared" si="2"/>
        <v>0</v>
      </c>
      <c r="J22" s="40"/>
    </row>
    <row r="23" spans="1:10" ht="15.75">
      <c r="A23" s="68" t="s">
        <v>99</v>
      </c>
      <c r="B23" s="40">
        <v>58998.89</v>
      </c>
      <c r="C23" s="40">
        <f t="shared" si="0"/>
        <v>-14753.89</v>
      </c>
      <c r="D23" s="40">
        <v>44245</v>
      </c>
      <c r="E23" s="69">
        <v>160652.25</v>
      </c>
      <c r="F23" s="40">
        <f t="shared" si="1"/>
        <v>-80876.55</v>
      </c>
      <c r="G23" s="40">
        <v>79775.7</v>
      </c>
      <c r="H23" s="40">
        <v>175784.09</v>
      </c>
      <c r="I23" s="40">
        <f t="shared" si="2"/>
        <v>-72019.539999999994</v>
      </c>
      <c r="J23" s="40">
        <v>103764.55</v>
      </c>
    </row>
    <row r="24" spans="1:10" ht="15.75">
      <c r="A24" s="68" t="s">
        <v>100</v>
      </c>
      <c r="B24" s="40">
        <v>70042.45</v>
      </c>
      <c r="C24" s="40">
        <f t="shared" si="0"/>
        <v>-70042.45</v>
      </c>
      <c r="D24" s="40">
        <v>0</v>
      </c>
      <c r="E24" s="69">
        <f>3631475+3346524</f>
        <v>6977999</v>
      </c>
      <c r="F24" s="40">
        <f t="shared" si="1"/>
        <v>-6977999</v>
      </c>
      <c r="G24" s="40"/>
      <c r="H24" s="40">
        <f>5062740+9572207.71</f>
        <v>14634947.710000001</v>
      </c>
      <c r="I24" s="40">
        <f t="shared" si="2"/>
        <v>-14634947.710000001</v>
      </c>
      <c r="J24" s="40">
        <v>0</v>
      </c>
    </row>
    <row r="25" spans="1:10" ht="15.75">
      <c r="A25" s="68" t="s">
        <v>101</v>
      </c>
      <c r="B25" s="40">
        <v>7991</v>
      </c>
      <c r="C25" s="40">
        <f t="shared" si="0"/>
        <v>-7991</v>
      </c>
      <c r="D25" s="40"/>
      <c r="E25" s="69"/>
      <c r="F25" s="40">
        <f t="shared" si="1"/>
        <v>0</v>
      </c>
      <c r="G25" s="40"/>
      <c r="H25" s="40">
        <v>18305.46</v>
      </c>
      <c r="I25" s="40">
        <f t="shared" si="2"/>
        <v>-7528</v>
      </c>
      <c r="J25" s="40">
        <v>10777.46</v>
      </c>
    </row>
    <row r="26" spans="1:10" ht="15.75">
      <c r="A26" s="68" t="s">
        <v>102</v>
      </c>
      <c r="B26" s="40">
        <v>31790.31</v>
      </c>
      <c r="C26" s="40">
        <f t="shared" si="0"/>
        <v>-31790.31</v>
      </c>
      <c r="D26" s="40"/>
      <c r="E26" s="69">
        <v>3637</v>
      </c>
      <c r="F26" s="40">
        <f t="shared" si="1"/>
        <v>-3637</v>
      </c>
      <c r="G26" s="40">
        <v>0</v>
      </c>
      <c r="H26" s="40">
        <v>180595</v>
      </c>
      <c r="I26" s="40">
        <f t="shared" si="2"/>
        <v>-180595</v>
      </c>
      <c r="J26" s="40">
        <v>0</v>
      </c>
    </row>
    <row r="27" spans="1:10" ht="15.75">
      <c r="A27" s="68" t="s">
        <v>103</v>
      </c>
      <c r="B27" s="40">
        <f>21421.8+3515.5</f>
        <v>24937.3</v>
      </c>
      <c r="C27" s="40">
        <f t="shared" si="0"/>
        <v>-3515.5</v>
      </c>
      <c r="D27" s="40">
        <v>21421.8</v>
      </c>
      <c r="E27" s="69">
        <f>95786.22+9745</f>
        <v>105531.22</v>
      </c>
      <c r="F27" s="40">
        <f t="shared" si="1"/>
        <v>-4698.1900000000023</v>
      </c>
      <c r="G27" s="40">
        <v>100833.03</v>
      </c>
      <c r="H27" s="40">
        <f>103838.16+9827</f>
        <v>113665.16</v>
      </c>
      <c r="I27" s="40">
        <f t="shared" si="2"/>
        <v>0</v>
      </c>
      <c r="J27" s="40">
        <v>113665.16</v>
      </c>
    </row>
    <row r="28" spans="1:10" ht="15.75">
      <c r="A28" s="68" t="s">
        <v>104</v>
      </c>
      <c r="B28" s="40"/>
      <c r="C28" s="40">
        <f t="shared" si="0"/>
        <v>0</v>
      </c>
      <c r="D28" s="40"/>
      <c r="E28" s="69"/>
      <c r="F28" s="40">
        <f t="shared" si="1"/>
        <v>0</v>
      </c>
      <c r="G28" s="40"/>
      <c r="H28" s="40"/>
      <c r="I28" s="40">
        <f t="shared" si="2"/>
        <v>0</v>
      </c>
      <c r="J28" s="40"/>
    </row>
    <row r="29" spans="1:10" ht="15.75">
      <c r="A29" s="68" t="s">
        <v>105</v>
      </c>
      <c r="B29" s="40">
        <v>15653.89</v>
      </c>
      <c r="C29" s="40">
        <f t="shared" si="0"/>
        <v>0</v>
      </c>
      <c r="D29" s="40">
        <v>15653.89</v>
      </c>
      <c r="E29" s="40">
        <v>17421.009999999998</v>
      </c>
      <c r="F29" s="40">
        <f t="shared" si="1"/>
        <v>0</v>
      </c>
      <c r="G29" s="40">
        <v>17421.009999999998</v>
      </c>
      <c r="H29" s="40">
        <v>2150</v>
      </c>
      <c r="I29" s="40">
        <f t="shared" si="2"/>
        <v>0</v>
      </c>
      <c r="J29" s="40">
        <v>2150</v>
      </c>
    </row>
    <row r="30" spans="1:10" ht="15.75">
      <c r="A30" s="68" t="s">
        <v>246</v>
      </c>
      <c r="B30" s="40">
        <v>2762.36</v>
      </c>
      <c r="C30" s="40">
        <f t="shared" si="0"/>
        <v>31551.64</v>
      </c>
      <c r="D30" s="40">
        <v>34314</v>
      </c>
      <c r="E30" s="40">
        <v>3000</v>
      </c>
      <c r="F30" s="40">
        <f t="shared" si="1"/>
        <v>163320</v>
      </c>
      <c r="G30" s="40">
        <v>166320</v>
      </c>
      <c r="H30" s="40">
        <v>11000</v>
      </c>
      <c r="I30" s="40">
        <f t="shared" si="2"/>
        <v>266023</v>
      </c>
      <c r="J30" s="40">
        <f>薪酬核定表!D33</f>
        <v>277023</v>
      </c>
    </row>
    <row r="31" spans="1:10" ht="15.75">
      <c r="A31" s="68" t="s">
        <v>106</v>
      </c>
      <c r="B31" s="40"/>
      <c r="C31" s="40">
        <f t="shared" si="0"/>
        <v>27451.200000000001</v>
      </c>
      <c r="D31" s="40">
        <v>27451.200000000001</v>
      </c>
      <c r="E31" s="40">
        <v>55142.37</v>
      </c>
      <c r="F31" s="40">
        <f t="shared" si="1"/>
        <v>77913.63</v>
      </c>
      <c r="G31" s="40">
        <v>133056</v>
      </c>
      <c r="H31" s="40">
        <v>113301.67</v>
      </c>
      <c r="I31" s="40">
        <f t="shared" si="2"/>
        <v>108316.73</v>
      </c>
      <c r="J31" s="40">
        <f>薪酬核定表!D32</f>
        <v>221618.4</v>
      </c>
    </row>
    <row r="32" spans="1:10" ht="15.75">
      <c r="A32" s="68" t="s">
        <v>107</v>
      </c>
      <c r="B32" s="40">
        <f>293444.44+58092.5</f>
        <v>351536.94</v>
      </c>
      <c r="C32" s="40">
        <f t="shared" si="0"/>
        <v>-351536.94</v>
      </c>
      <c r="D32" s="40">
        <v>0</v>
      </c>
      <c r="E32" s="40">
        <f>716422.13+123780.55+35775.62</f>
        <v>875978.3</v>
      </c>
      <c r="F32" s="40">
        <f t="shared" si="1"/>
        <v>-875978.3</v>
      </c>
      <c r="G32" s="40">
        <v>0</v>
      </c>
      <c r="H32" s="40">
        <f>605871.08+94350.92+17724.43+85876.09+29900.11</f>
        <v>833722.63</v>
      </c>
      <c r="I32" s="40">
        <f t="shared" si="2"/>
        <v>-833722.63</v>
      </c>
      <c r="J32" s="40">
        <v>0</v>
      </c>
    </row>
    <row r="33" spans="1:10" ht="15.75">
      <c r="A33" s="68" t="s">
        <v>108</v>
      </c>
      <c r="B33" s="40"/>
      <c r="C33" s="40">
        <f t="shared" si="0"/>
        <v>0</v>
      </c>
      <c r="D33" s="40"/>
      <c r="E33" s="40"/>
      <c r="F33" s="40">
        <f t="shared" si="1"/>
        <v>0</v>
      </c>
      <c r="G33" s="40"/>
      <c r="H33" s="40">
        <v>50000</v>
      </c>
      <c r="I33" s="40">
        <f t="shared" si="2"/>
        <v>841</v>
      </c>
      <c r="J33" s="40">
        <v>50841</v>
      </c>
    </row>
    <row r="34" spans="1:10" ht="15.75">
      <c r="A34" s="68" t="s">
        <v>109</v>
      </c>
      <c r="B34" s="40">
        <f>3460+8720</f>
        <v>12180</v>
      </c>
      <c r="C34" s="40">
        <f t="shared" si="0"/>
        <v>4986.9500000000007</v>
      </c>
      <c r="D34" s="40">
        <v>17166.95</v>
      </c>
      <c r="E34" s="40">
        <f>3465.63+3245.9</f>
        <v>6711.53</v>
      </c>
      <c r="F34" s="40">
        <f t="shared" si="1"/>
        <v>0</v>
      </c>
      <c r="G34" s="40">
        <v>6711.53</v>
      </c>
      <c r="H34" s="40">
        <f>18269+841</f>
        <v>19110</v>
      </c>
      <c r="I34" s="40">
        <f t="shared" si="2"/>
        <v>0</v>
      </c>
      <c r="J34" s="40">
        <v>19110</v>
      </c>
    </row>
    <row r="35" spans="1:10" ht="15.75">
      <c r="A35" s="68" t="s">
        <v>110</v>
      </c>
      <c r="B35" s="40"/>
      <c r="C35" s="40">
        <f t="shared" si="0"/>
        <v>0</v>
      </c>
      <c r="D35" s="40"/>
      <c r="E35" s="40"/>
      <c r="F35" s="40">
        <f t="shared" si="1"/>
        <v>0</v>
      </c>
      <c r="G35" s="40"/>
      <c r="H35" s="40"/>
      <c r="I35" s="40">
        <f t="shared" si="2"/>
        <v>0</v>
      </c>
      <c r="J35" s="40"/>
    </row>
    <row r="36" spans="1:10" ht="15.75">
      <c r="A36" s="68" t="s">
        <v>111</v>
      </c>
      <c r="B36" s="40">
        <f>381461.65+1040777.13+127248.12</f>
        <v>1549486.9</v>
      </c>
      <c r="C36" s="40">
        <f t="shared" si="0"/>
        <v>-1194459.25</v>
      </c>
      <c r="D36" s="40">
        <v>355027.65</v>
      </c>
      <c r="E36" s="40">
        <f>1179113.42+3076967.71+100182.72-66504.61</f>
        <v>4289759.24</v>
      </c>
      <c r="F36" s="40">
        <f t="shared" si="1"/>
        <v>-3379786.54</v>
      </c>
      <c r="G36" s="40">
        <f>213795.37+274998.33+23276.85+29460.74+14270+23670+143550+62266.68+6750+8063.5+9871.23+100000</f>
        <v>909972.70000000007</v>
      </c>
      <c r="H36" s="40">
        <f>1188097.89+5055202.24+123435.07+12000</f>
        <v>6378735.2000000002</v>
      </c>
      <c r="I36" s="40">
        <f t="shared" si="2"/>
        <v>-5348007.51</v>
      </c>
      <c r="J36" s="40">
        <f>868227.7+50199.99+97800+14500</f>
        <v>1030727.69</v>
      </c>
    </row>
    <row r="37" spans="1:10" ht="15.75">
      <c r="A37" s="70" t="s">
        <v>112</v>
      </c>
      <c r="B37" s="40">
        <f>SUM(B38:B43)</f>
        <v>50000</v>
      </c>
      <c r="C37" s="40">
        <f t="shared" si="0"/>
        <v>0</v>
      </c>
      <c r="D37" s="40">
        <v>50000</v>
      </c>
      <c r="E37" s="40">
        <f>SUM(E38:E43)</f>
        <v>406988.61</v>
      </c>
      <c r="F37" s="40">
        <f t="shared" si="1"/>
        <v>-147884</v>
      </c>
      <c r="G37" s="40">
        <f>G38+G39+G40+G41+G42+G43</f>
        <v>259104.61</v>
      </c>
      <c r="H37" s="40">
        <f>SUM(H38:H43)</f>
        <v>220428</v>
      </c>
      <c r="I37" s="40">
        <f t="shared" si="2"/>
        <v>0</v>
      </c>
      <c r="J37" s="40">
        <f>J38+J39+J40+J41+J42+J43</f>
        <v>220428</v>
      </c>
    </row>
    <row r="38" spans="1:10" ht="15.75">
      <c r="A38" s="68" t="s">
        <v>113</v>
      </c>
      <c r="B38" s="40"/>
      <c r="C38" s="40">
        <f t="shared" si="0"/>
        <v>0</v>
      </c>
      <c r="D38" s="40"/>
      <c r="E38" s="40"/>
      <c r="F38" s="40">
        <f t="shared" si="1"/>
        <v>0</v>
      </c>
      <c r="G38" s="40"/>
      <c r="H38" s="40"/>
      <c r="I38" s="40">
        <f t="shared" si="2"/>
        <v>0</v>
      </c>
      <c r="J38" s="40"/>
    </row>
    <row r="39" spans="1:10" ht="15.75">
      <c r="A39" s="68" t="s">
        <v>114</v>
      </c>
      <c r="B39" s="40"/>
      <c r="C39" s="40">
        <f t="shared" si="0"/>
        <v>0</v>
      </c>
      <c r="D39" s="40"/>
      <c r="E39" s="40"/>
      <c r="F39" s="40">
        <f t="shared" si="1"/>
        <v>0</v>
      </c>
      <c r="G39" s="40"/>
      <c r="H39" s="40"/>
      <c r="I39" s="40">
        <f t="shared" si="2"/>
        <v>0</v>
      </c>
      <c r="J39" s="40"/>
    </row>
    <row r="40" spans="1:10" ht="15.75">
      <c r="A40" s="68" t="s">
        <v>115</v>
      </c>
      <c r="B40" s="40"/>
      <c r="C40" s="40">
        <f t="shared" si="0"/>
        <v>0</v>
      </c>
      <c r="D40" s="40"/>
      <c r="E40" s="40">
        <v>97884</v>
      </c>
      <c r="F40" s="40">
        <f t="shared" si="1"/>
        <v>-97884</v>
      </c>
      <c r="G40" s="40"/>
      <c r="H40" s="40"/>
      <c r="I40" s="40">
        <f t="shared" si="2"/>
        <v>0</v>
      </c>
      <c r="J40" s="40"/>
    </row>
    <row r="41" spans="1:10" ht="15.75">
      <c r="A41" s="68" t="s">
        <v>116</v>
      </c>
      <c r="B41" s="40"/>
      <c r="C41" s="40">
        <f t="shared" si="0"/>
        <v>0</v>
      </c>
      <c r="D41" s="40"/>
      <c r="E41" s="40">
        <v>66504.61</v>
      </c>
      <c r="F41" s="40">
        <f t="shared" si="1"/>
        <v>0</v>
      </c>
      <c r="G41" s="40">
        <v>66504.61</v>
      </c>
      <c r="H41" s="40">
        <v>21528</v>
      </c>
      <c r="I41" s="40">
        <f t="shared" si="2"/>
        <v>0</v>
      </c>
      <c r="J41" s="40">
        <v>21528</v>
      </c>
    </row>
    <row r="42" spans="1:10" ht="15.75">
      <c r="A42" s="68" t="s">
        <v>117</v>
      </c>
      <c r="B42" s="40"/>
      <c r="C42" s="40">
        <f t="shared" si="0"/>
        <v>0</v>
      </c>
      <c r="D42" s="40"/>
      <c r="E42" s="40">
        <v>31600</v>
      </c>
      <c r="F42" s="40">
        <f t="shared" si="1"/>
        <v>0</v>
      </c>
      <c r="G42" s="40">
        <v>31600</v>
      </c>
      <c r="H42" s="40">
        <v>46400</v>
      </c>
      <c r="I42" s="40">
        <f t="shared" si="2"/>
        <v>0</v>
      </c>
      <c r="J42" s="40">
        <v>46400</v>
      </c>
    </row>
    <row r="43" spans="1:10" ht="15.75">
      <c r="A43" s="68" t="s">
        <v>118</v>
      </c>
      <c r="B43" s="40">
        <f>[1]科目余额表!$H$179</f>
        <v>50000</v>
      </c>
      <c r="C43" s="40">
        <f t="shared" si="0"/>
        <v>0</v>
      </c>
      <c r="D43" s="40">
        <v>50000</v>
      </c>
      <c r="E43" s="40">
        <v>211000</v>
      </c>
      <c r="F43" s="40">
        <f t="shared" si="1"/>
        <v>-50000</v>
      </c>
      <c r="G43" s="40">
        <v>161000</v>
      </c>
      <c r="H43" s="40">
        <v>152500</v>
      </c>
      <c r="I43" s="40">
        <f t="shared" si="2"/>
        <v>0</v>
      </c>
      <c r="J43" s="40">
        <v>152500</v>
      </c>
    </row>
    <row r="44" spans="1:10" ht="20.25" customHeight="1">
      <c r="A44" s="71" t="s">
        <v>119</v>
      </c>
      <c r="B44" s="66">
        <f>SUM(B45:B49)</f>
        <v>4779.2</v>
      </c>
      <c r="C44" s="40">
        <f t="shared" si="0"/>
        <v>349670.87784783333</v>
      </c>
      <c r="D44" s="40">
        <f>固定资产折旧计算表!C18</f>
        <v>354450.07784783334</v>
      </c>
      <c r="E44" s="66">
        <f>SUM(E45:E49)</f>
        <v>39507.19</v>
      </c>
      <c r="F44" s="40">
        <f t="shared" si="1"/>
        <v>1834050.2510199999</v>
      </c>
      <c r="G44" s="40">
        <f>固定资产折旧计算表!H18</f>
        <v>1873557.4410199998</v>
      </c>
      <c r="H44" s="66">
        <f>SUM(H45:H49)</f>
        <v>46420.47</v>
      </c>
      <c r="I44" s="40">
        <f t="shared" si="2"/>
        <v>1889248.3341948616</v>
      </c>
      <c r="J44" s="40">
        <f>固定资产折旧计算表!M18</f>
        <v>1935668.8041948616</v>
      </c>
    </row>
    <row r="45" spans="1:10" ht="15.75">
      <c r="A45" s="67" t="s">
        <v>48</v>
      </c>
      <c r="B45" s="40"/>
      <c r="C45" s="40">
        <f t="shared" si="0"/>
        <v>0</v>
      </c>
      <c r="D45" s="40"/>
      <c r="E45" s="40"/>
      <c r="F45" s="40">
        <f t="shared" si="1"/>
        <v>0</v>
      </c>
      <c r="G45" s="40"/>
      <c r="H45" s="40"/>
      <c r="I45" s="40">
        <f t="shared" si="2"/>
        <v>0</v>
      </c>
      <c r="J45" s="40"/>
    </row>
    <row r="46" spans="1:10" ht="15.75">
      <c r="A46" s="67" t="s">
        <v>49</v>
      </c>
      <c r="B46" s="40">
        <f>713.34+224.89+514.45+231.02</f>
        <v>1683.7</v>
      </c>
      <c r="C46" s="40"/>
      <c r="D46" s="40"/>
      <c r="E46" s="40">
        <f>3483.02+224.89+377.75+664.45+315.1</f>
        <v>5065.21</v>
      </c>
      <c r="F46" s="40"/>
      <c r="G46" s="40"/>
      <c r="H46" s="40">
        <f>5943.27+327.64+407.17+778.14+315.1</f>
        <v>7771.32</v>
      </c>
      <c r="I46" s="40"/>
      <c r="J46" s="40"/>
    </row>
    <row r="47" spans="1:10" ht="15.75">
      <c r="A47" s="67" t="s">
        <v>50</v>
      </c>
      <c r="B47" s="40"/>
      <c r="C47" s="40">
        <f t="shared" si="0"/>
        <v>0</v>
      </c>
      <c r="D47" s="40"/>
      <c r="E47" s="40">
        <f>127.78+3375+4906.1+433.61+16793.43</f>
        <v>25635.919999999998</v>
      </c>
      <c r="F47" s="40"/>
      <c r="G47" s="40"/>
      <c r="H47" s="40">
        <f>127.78+4708.33+5184.98+582.22+16793.42</f>
        <v>27396.73</v>
      </c>
      <c r="I47" s="40"/>
      <c r="J47" s="40"/>
    </row>
    <row r="48" spans="1:10" ht="15.75">
      <c r="A48" s="67" t="s">
        <v>51</v>
      </c>
      <c r="B48" s="40">
        <f>402.5+451.42+1848.19+393.39</f>
        <v>3095.5</v>
      </c>
      <c r="C48" s="40"/>
      <c r="D48" s="40"/>
      <c r="E48" s="40">
        <f>3162.08+642.83+281.67+3963.82+755.66</f>
        <v>8806.06</v>
      </c>
      <c r="F48" s="40"/>
      <c r="G48" s="40"/>
      <c r="H48" s="40">
        <f>3162.08+1013.55+281.67+4914.07+1881.05</f>
        <v>11252.42</v>
      </c>
      <c r="I48" s="40"/>
      <c r="J48" s="40"/>
    </row>
    <row r="49" spans="1:10" ht="15.75">
      <c r="A49" s="68" t="s">
        <v>120</v>
      </c>
      <c r="B49" s="40"/>
      <c r="C49" s="40">
        <f t="shared" si="0"/>
        <v>0</v>
      </c>
      <c r="D49" s="40"/>
      <c r="E49" s="40"/>
      <c r="F49" s="40">
        <f t="shared" si="1"/>
        <v>0</v>
      </c>
      <c r="G49" s="40"/>
      <c r="H49" s="40"/>
      <c r="I49" s="40"/>
      <c r="J49" s="40"/>
    </row>
    <row r="50" spans="1:10" ht="22.5" customHeight="1">
      <c r="A50" s="71" t="s">
        <v>121</v>
      </c>
      <c r="B50" s="40"/>
      <c r="C50" s="40">
        <f t="shared" si="0"/>
        <v>0</v>
      </c>
      <c r="D50" s="40"/>
      <c r="E50" s="40"/>
      <c r="F50" s="40">
        <f t="shared" si="1"/>
        <v>0</v>
      </c>
      <c r="G50" s="40"/>
      <c r="H50" s="40"/>
      <c r="I50" s="40"/>
      <c r="J50" s="40"/>
    </row>
    <row r="51" spans="1:10" ht="15.75">
      <c r="A51" s="66" t="s">
        <v>122</v>
      </c>
      <c r="B51" s="40">
        <f>SUM(B52:B54)</f>
        <v>12037.8</v>
      </c>
      <c r="C51" s="40">
        <f t="shared" si="0"/>
        <v>0</v>
      </c>
      <c r="D51" s="40">
        <v>12037.8</v>
      </c>
      <c r="E51" s="40">
        <f>SUM(E52:E54)</f>
        <v>29638.99</v>
      </c>
      <c r="F51" s="40">
        <f t="shared" si="1"/>
        <v>0</v>
      </c>
      <c r="G51" s="40">
        <v>29638.99</v>
      </c>
      <c r="H51" s="40">
        <f>SUM(H52:H54)</f>
        <v>28473.02</v>
      </c>
      <c r="I51" s="40">
        <f t="shared" si="2"/>
        <v>0</v>
      </c>
      <c r="J51" s="40">
        <v>28473.02</v>
      </c>
    </row>
    <row r="52" spans="1:10" ht="15.75">
      <c r="A52" s="40" t="s">
        <v>123</v>
      </c>
      <c r="B52" s="40"/>
      <c r="C52" s="40">
        <f t="shared" si="0"/>
        <v>0</v>
      </c>
      <c r="D52" s="40"/>
      <c r="E52" s="40"/>
      <c r="F52" s="40">
        <f t="shared" si="1"/>
        <v>0</v>
      </c>
      <c r="G52" s="40"/>
      <c r="H52" s="40"/>
      <c r="I52" s="40">
        <f t="shared" si="2"/>
        <v>0</v>
      </c>
      <c r="J52" s="40"/>
    </row>
    <row r="53" spans="1:10" ht="15.75">
      <c r="A53" s="40" t="s">
        <v>124</v>
      </c>
      <c r="B53" s="40">
        <f>[1]科目余额表!$H$183</f>
        <v>-4986.66</v>
      </c>
      <c r="C53" s="40">
        <f t="shared" si="0"/>
        <v>4986.66</v>
      </c>
      <c r="D53" s="40"/>
      <c r="E53" s="40"/>
      <c r="F53" s="40">
        <f t="shared" si="1"/>
        <v>0</v>
      </c>
      <c r="G53" s="40"/>
      <c r="H53" s="40"/>
      <c r="I53" s="40">
        <f t="shared" si="2"/>
        <v>0</v>
      </c>
      <c r="J53" s="40"/>
    </row>
    <row r="54" spans="1:10" ht="15.75">
      <c r="A54" s="40" t="s">
        <v>125</v>
      </c>
      <c r="B54" s="40">
        <f>[1]科目余额表!$H$182</f>
        <v>17024.46</v>
      </c>
      <c r="C54" s="40">
        <f t="shared" si="0"/>
        <v>-17024.46</v>
      </c>
      <c r="D54" s="40"/>
      <c r="E54" s="40">
        <v>29638.99</v>
      </c>
      <c r="F54" s="40">
        <f t="shared" si="1"/>
        <v>0</v>
      </c>
      <c r="G54" s="40">
        <v>29638.99</v>
      </c>
      <c r="H54" s="40">
        <v>28473.02</v>
      </c>
      <c r="I54" s="40">
        <f t="shared" si="2"/>
        <v>0</v>
      </c>
      <c r="J54" s="40">
        <v>28473.02</v>
      </c>
    </row>
    <row r="55" spans="1:10" ht="15.75">
      <c r="A55" s="66" t="s">
        <v>126</v>
      </c>
      <c r="B55" s="40">
        <f>B5+B12+B37+B44+B50+B51</f>
        <v>8312888.9800000004</v>
      </c>
      <c r="C55" s="40">
        <f t="shared" ref="C55:J55" si="3">C5+C12+C37+C44+C50+C51</f>
        <v>-5492789.7021521665</v>
      </c>
      <c r="D55" s="40">
        <f>D5+D12+D37+D44+D50+D51</f>
        <v>2820099.277847833</v>
      </c>
      <c r="E55" s="40">
        <f t="shared" si="3"/>
        <v>25416039.499999996</v>
      </c>
      <c r="F55" s="40">
        <f t="shared" si="1"/>
        <v>-13953533.488979997</v>
      </c>
      <c r="G55" s="40">
        <f>G5+G12+G37+G44+G50+G51</f>
        <v>11462506.011019999</v>
      </c>
      <c r="H55" s="40">
        <f t="shared" si="3"/>
        <v>43461129.789999999</v>
      </c>
      <c r="I55" s="40">
        <f t="shared" si="2"/>
        <v>-26232513.095805138</v>
      </c>
      <c r="J55" s="40">
        <f t="shared" si="3"/>
        <v>17228616.694194861</v>
      </c>
    </row>
  </sheetData>
  <mergeCells count="1">
    <mergeCell ref="A2:J2"/>
  </mergeCells>
  <phoneticPr fontId="38" type="noConversion"/>
  <pageMargins left="0.51181102362204722" right="0.51181102362204722" top="0.74803149606299213" bottom="0.74803149606299213" header="0.31496062992125984" footer="0.31496062992125984"/>
  <pageSetup paperSize="9" orientation="landscape" r:id="rId1"/>
  <headerFooter>
    <oddFooter>&amp;C第 &amp;P 页，共 &amp;N 页</oddFooter>
  </headerFooter>
  <legacyDrawing r:id="rId2"/>
</worksheet>
</file>

<file path=xl/worksheets/sheet5.xml><?xml version="1.0" encoding="utf-8"?>
<worksheet xmlns="http://schemas.openxmlformats.org/spreadsheetml/2006/main" xmlns:r="http://schemas.openxmlformats.org/officeDocument/2006/relationships">
  <dimension ref="A1:D28"/>
  <sheetViews>
    <sheetView workbookViewId="0">
      <selection activeCell="A2" sqref="A2:D2"/>
    </sheetView>
  </sheetViews>
  <sheetFormatPr defaultColWidth="9" defaultRowHeight="13.5"/>
  <cols>
    <col min="1" max="1" width="37.75" customWidth="1"/>
    <col min="2" max="4" width="16.875" customWidth="1"/>
  </cols>
  <sheetData>
    <row r="1" spans="1:4" ht="21">
      <c r="A1" s="44" t="s">
        <v>127</v>
      </c>
      <c r="B1" s="45"/>
    </row>
    <row r="2" spans="1:4" ht="25.5" customHeight="1">
      <c r="A2" s="155" t="s">
        <v>303</v>
      </c>
      <c r="B2" s="155"/>
      <c r="C2" s="155"/>
      <c r="D2" s="155"/>
    </row>
    <row r="3" spans="1:4">
      <c r="A3" s="156"/>
      <c r="B3" s="156"/>
    </row>
    <row r="4" spans="1:4" ht="43.5" customHeight="1">
      <c r="A4" s="46" t="s">
        <v>128</v>
      </c>
      <c r="B4" s="47" t="s">
        <v>129</v>
      </c>
      <c r="C4" s="47" t="s">
        <v>20</v>
      </c>
      <c r="D4" s="47" t="s">
        <v>21</v>
      </c>
    </row>
    <row r="5" spans="1:4" ht="24" customHeight="1">
      <c r="A5" s="48" t="s">
        <v>130</v>
      </c>
      <c r="B5" s="49"/>
      <c r="C5" s="49"/>
      <c r="D5" s="49"/>
    </row>
    <row r="6" spans="1:4" ht="24" customHeight="1">
      <c r="A6" s="50" t="s">
        <v>131</v>
      </c>
      <c r="B6" s="51">
        <v>126</v>
      </c>
      <c r="C6" s="51">
        <v>599</v>
      </c>
      <c r="D6" s="51">
        <v>975</v>
      </c>
    </row>
    <row r="7" spans="1:4" ht="24" customHeight="1">
      <c r="A7" s="50" t="s">
        <v>132</v>
      </c>
      <c r="B7" s="51">
        <v>14</v>
      </c>
      <c r="C7" s="51">
        <v>66</v>
      </c>
      <c r="D7" s="51">
        <v>102</v>
      </c>
    </row>
    <row r="8" spans="1:4" ht="24" customHeight="1">
      <c r="A8" s="52" t="s">
        <v>133</v>
      </c>
      <c r="B8" s="53"/>
      <c r="C8" s="53"/>
      <c r="D8" s="53"/>
    </row>
    <row r="9" spans="1:4" ht="24" customHeight="1">
      <c r="A9" s="54" t="s">
        <v>134</v>
      </c>
      <c r="B9" s="55">
        <v>15</v>
      </c>
      <c r="C9" s="55">
        <v>15</v>
      </c>
      <c r="D9" s="55">
        <v>11</v>
      </c>
    </row>
    <row r="10" spans="1:4" ht="24" customHeight="1">
      <c r="A10" s="52" t="s">
        <v>135</v>
      </c>
      <c r="B10" s="55"/>
      <c r="C10" s="55"/>
      <c r="D10" s="55"/>
    </row>
    <row r="11" spans="1:4" ht="24" customHeight="1">
      <c r="A11" s="50" t="s">
        <v>136</v>
      </c>
      <c r="B11" s="55">
        <v>19.38</v>
      </c>
      <c r="C11" s="55">
        <v>18.86</v>
      </c>
      <c r="D11" s="55">
        <v>19.079999999999998</v>
      </c>
    </row>
    <row r="12" spans="1:4" ht="24" customHeight="1">
      <c r="A12" s="50" t="s">
        <v>137</v>
      </c>
      <c r="B12" s="55">
        <f>[2]基本情况表!B11/[2]基本情况表!B18</f>
        <v>12</v>
      </c>
      <c r="C12" s="55">
        <v>13.72</v>
      </c>
      <c r="D12" s="55">
        <v>13.41</v>
      </c>
    </row>
    <row r="13" spans="1:4" ht="24" customHeight="1">
      <c r="A13" s="50" t="s">
        <v>138</v>
      </c>
      <c r="B13" s="55"/>
      <c r="C13" s="55"/>
      <c r="D13" s="55"/>
    </row>
    <row r="14" spans="1:4" ht="24" customHeight="1">
      <c r="A14" s="52" t="s">
        <v>139</v>
      </c>
      <c r="B14" s="56">
        <f>SUM(B15:B20)</f>
        <v>2820099.277847833</v>
      </c>
      <c r="C14" s="56">
        <f>SUM(C15:C20)</f>
        <v>11462506.011019999</v>
      </c>
      <c r="D14" s="56">
        <f>SUM(D15:D20)</f>
        <v>17228616.694194861</v>
      </c>
    </row>
    <row r="15" spans="1:4" ht="24" customHeight="1">
      <c r="A15" s="50" t="s">
        <v>140</v>
      </c>
      <c r="B15" s="57">
        <f>教育成本归集表!D5</f>
        <v>1512303</v>
      </c>
      <c r="C15" s="57">
        <f>教育成本归集表!G5</f>
        <v>7336332.8799999999</v>
      </c>
      <c r="D15" s="57">
        <f>教育成本归集表!J5</f>
        <v>12763469.85</v>
      </c>
    </row>
    <row r="16" spans="1:4" ht="24" customHeight="1">
      <c r="A16" s="50" t="s">
        <v>141</v>
      </c>
      <c r="B16" s="57">
        <f>教育成本归集表!D12</f>
        <v>891308.4</v>
      </c>
      <c r="C16" s="57">
        <f>教育成本归集表!G12</f>
        <v>1963872.0899999999</v>
      </c>
      <c r="D16" s="57">
        <f>教育成本归集表!J12</f>
        <v>2280577.0199999996</v>
      </c>
    </row>
    <row r="17" spans="1:4" ht="24" customHeight="1">
      <c r="A17" s="50" t="s">
        <v>142</v>
      </c>
      <c r="B17" s="57">
        <f>教育成本归集表!D37</f>
        <v>50000</v>
      </c>
      <c r="C17" s="57">
        <f>教育成本归集表!G37</f>
        <v>259104.61</v>
      </c>
      <c r="D17" s="57">
        <f>教育成本归集表!J37</f>
        <v>220428</v>
      </c>
    </row>
    <row r="18" spans="1:4" ht="24" customHeight="1">
      <c r="A18" s="50" t="s">
        <v>143</v>
      </c>
      <c r="B18" s="57">
        <f>教育成本归集表!D44</f>
        <v>354450.07784783334</v>
      </c>
      <c r="C18" s="57">
        <f>教育成本归集表!G44</f>
        <v>1873557.4410199998</v>
      </c>
      <c r="D18" s="57">
        <f>教育成本归集表!J44</f>
        <v>1935668.8041948616</v>
      </c>
    </row>
    <row r="19" spans="1:4" ht="24" customHeight="1">
      <c r="A19" s="58" t="s">
        <v>144</v>
      </c>
      <c r="B19" s="57">
        <f>教育成本归集表!B50</f>
        <v>0</v>
      </c>
      <c r="C19" s="57">
        <f>教育成本归集表!E50</f>
        <v>0</v>
      </c>
      <c r="D19" s="57">
        <f>教育成本归集表!J50</f>
        <v>0</v>
      </c>
    </row>
    <row r="20" spans="1:4" ht="24" customHeight="1">
      <c r="A20" s="50" t="s">
        <v>145</v>
      </c>
      <c r="B20" s="57">
        <f>教育成本归集表!D51</f>
        <v>12037.8</v>
      </c>
      <c r="C20" s="57">
        <f>教育成本归集表!G51</f>
        <v>29638.99</v>
      </c>
      <c r="D20" s="57">
        <f>教育成本归集表!J51</f>
        <v>28473.02</v>
      </c>
    </row>
    <row r="21" spans="1:4" ht="24" customHeight="1">
      <c r="A21" s="52" t="s">
        <v>146</v>
      </c>
      <c r="B21" s="59">
        <v>191700</v>
      </c>
      <c r="C21" s="59">
        <v>731400</v>
      </c>
      <c r="D21" s="59">
        <v>1034600</v>
      </c>
    </row>
    <row r="22" spans="1:4" ht="24" customHeight="1">
      <c r="A22" s="52" t="s">
        <v>280</v>
      </c>
      <c r="B22" s="57">
        <f>B14-B21</f>
        <v>2628399.277847833</v>
      </c>
      <c r="C22" s="57">
        <f t="shared" ref="C22:D22" si="0">C14-C21</f>
        <v>10731106.011019999</v>
      </c>
      <c r="D22" s="57">
        <f t="shared" si="0"/>
        <v>16194016.694194861</v>
      </c>
    </row>
    <row r="23" spans="1:4" ht="24" customHeight="1">
      <c r="A23" s="52" t="s">
        <v>147</v>
      </c>
      <c r="B23" s="56">
        <f>B22/B6</f>
        <v>20860.311728951056</v>
      </c>
      <c r="C23" s="56">
        <f t="shared" ref="C23:D23" si="1">C22/C6</f>
        <v>17915.035076828044</v>
      </c>
      <c r="D23" s="56">
        <f t="shared" si="1"/>
        <v>16609.247891481908</v>
      </c>
    </row>
    <row r="24" spans="1:4" ht="24" customHeight="1">
      <c r="A24" s="50" t="s">
        <v>148</v>
      </c>
      <c r="B24" s="57">
        <f>B23*0.56</f>
        <v>11681.774568212591</v>
      </c>
      <c r="C24" s="57">
        <f t="shared" ref="C24:D24" si="2">C23*0.56</f>
        <v>10032.419643023706</v>
      </c>
      <c r="D24" s="57">
        <f t="shared" si="2"/>
        <v>9301.17881922987</v>
      </c>
    </row>
    <row r="25" spans="1:4" ht="24" customHeight="1">
      <c r="A25" s="50" t="s">
        <v>149</v>
      </c>
      <c r="B25" s="57">
        <f>B23*0.8</f>
        <v>16688.249383160844</v>
      </c>
      <c r="C25" s="57">
        <f t="shared" ref="C25:D25" si="3">C23*0.8</f>
        <v>14332.028061462435</v>
      </c>
      <c r="D25" s="57">
        <f t="shared" si="3"/>
        <v>13287.398313185528</v>
      </c>
    </row>
    <row r="26" spans="1:4" ht="24" customHeight="1">
      <c r="A26" s="50" t="s">
        <v>281</v>
      </c>
      <c r="B26" s="157">
        <f>(B24+C24+D24)/3</f>
        <v>10338.457676822056</v>
      </c>
      <c r="C26" s="158"/>
      <c r="D26" s="159"/>
    </row>
    <row r="27" spans="1:4" ht="27.75" customHeight="1">
      <c r="A27" s="50" t="s">
        <v>282</v>
      </c>
      <c r="B27" s="160">
        <f>(B25+C25+D25)/3</f>
        <v>14769.225252602935</v>
      </c>
      <c r="C27" s="161"/>
      <c r="D27" s="162"/>
    </row>
    <row r="28" spans="1:4">
      <c r="A28" s="26"/>
      <c r="B28" s="26"/>
      <c r="C28" s="26"/>
      <c r="D28" s="26"/>
    </row>
  </sheetData>
  <mergeCells count="4">
    <mergeCell ref="A2:D2"/>
    <mergeCell ref="A3:B3"/>
    <mergeCell ref="B26:D26"/>
    <mergeCell ref="B27:D27"/>
  </mergeCells>
  <phoneticPr fontId="38"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E27"/>
  <sheetViews>
    <sheetView workbookViewId="0">
      <selection activeCell="G12" sqref="G12"/>
    </sheetView>
  </sheetViews>
  <sheetFormatPr defaultColWidth="9" defaultRowHeight="13.5"/>
  <cols>
    <col min="1" max="1" width="15" customWidth="1"/>
    <col min="2" max="2" width="13.25" customWidth="1"/>
    <col min="3" max="3" width="13.125" customWidth="1"/>
    <col min="4" max="4" width="12.875" customWidth="1"/>
    <col min="5" max="5" width="12.125" customWidth="1"/>
  </cols>
  <sheetData>
    <row r="1" spans="1:5" ht="25.5">
      <c r="A1" s="154" t="s">
        <v>294</v>
      </c>
      <c r="B1" s="154"/>
      <c r="C1" s="154"/>
      <c r="D1" s="154"/>
      <c r="E1" s="154"/>
    </row>
    <row r="2" spans="1:5" ht="33" customHeight="1">
      <c r="A2" s="28" t="s">
        <v>150</v>
      </c>
      <c r="B2" s="28" t="s">
        <v>151</v>
      </c>
      <c r="C2" s="28" t="s">
        <v>152</v>
      </c>
      <c r="D2" s="28" t="s">
        <v>153</v>
      </c>
      <c r="E2" s="29" t="s">
        <v>154</v>
      </c>
    </row>
    <row r="3" spans="1:5" ht="21.95" customHeight="1">
      <c r="A3" s="42" t="s">
        <v>155</v>
      </c>
      <c r="B3" s="32"/>
      <c r="C3" s="32"/>
      <c r="D3" s="32"/>
      <c r="E3" s="32"/>
    </row>
    <row r="4" spans="1:5" ht="21.95" customHeight="1">
      <c r="A4" s="32" t="s">
        <v>156</v>
      </c>
      <c r="B4" s="32">
        <v>13</v>
      </c>
      <c r="C4" s="32">
        <v>0</v>
      </c>
      <c r="D4" s="32">
        <v>465</v>
      </c>
      <c r="E4" s="33">
        <f>(C4*8+D4*4)/12</f>
        <v>155</v>
      </c>
    </row>
    <row r="5" spans="1:5" ht="21.95" customHeight="1">
      <c r="A5" s="32" t="s">
        <v>157</v>
      </c>
      <c r="B5" s="32">
        <f>15+22</f>
        <v>37</v>
      </c>
      <c r="C5" s="32">
        <v>618</v>
      </c>
      <c r="D5" s="32">
        <v>914</v>
      </c>
      <c r="E5" s="33">
        <f>(C5*8+D5*4)/12</f>
        <v>716.66666666666663</v>
      </c>
    </row>
    <row r="6" spans="1:5" ht="21.95" customHeight="1">
      <c r="A6" s="32" t="s">
        <v>158</v>
      </c>
      <c r="B6" s="32">
        <f>24+23</f>
        <v>47</v>
      </c>
      <c r="C6" s="32">
        <v>967</v>
      </c>
      <c r="D6" s="32">
        <v>929</v>
      </c>
      <c r="E6" s="33">
        <f t="shared" ref="E6:E14" si="0">(C6*8+D6*4)/12</f>
        <v>954.33333333333337</v>
      </c>
    </row>
    <row r="7" spans="1:5" ht="21.95" customHeight="1">
      <c r="A7" s="32" t="s">
        <v>159</v>
      </c>
      <c r="B7" s="32">
        <f>SUM(B4:B6)</f>
        <v>97</v>
      </c>
      <c r="C7" s="32">
        <f>SUM(C4:C6)</f>
        <v>1585</v>
      </c>
      <c r="D7" s="32">
        <f>SUM(D4:D6)</f>
        <v>2308</v>
      </c>
      <c r="E7" s="33">
        <f t="shared" si="0"/>
        <v>1826</v>
      </c>
    </row>
    <row r="8" spans="1:5" ht="15.75">
      <c r="A8" s="43"/>
      <c r="B8" s="43"/>
      <c r="C8" s="43"/>
      <c r="D8" s="43"/>
      <c r="E8" s="33">
        <f t="shared" si="0"/>
        <v>0</v>
      </c>
    </row>
    <row r="9" spans="1:5" ht="33" customHeight="1">
      <c r="A9" s="28" t="s">
        <v>150</v>
      </c>
      <c r="B9" s="28" t="s">
        <v>151</v>
      </c>
      <c r="C9" s="28" t="s">
        <v>152</v>
      </c>
      <c r="D9" s="28" t="s">
        <v>153</v>
      </c>
      <c r="E9" s="33"/>
    </row>
    <row r="10" spans="1:5" ht="23.1" customHeight="1">
      <c r="A10" s="42" t="s">
        <v>161</v>
      </c>
      <c r="B10" s="32"/>
      <c r="C10" s="32"/>
      <c r="D10" s="32"/>
      <c r="E10" s="33">
        <f t="shared" si="0"/>
        <v>0</v>
      </c>
    </row>
    <row r="11" spans="1:5" ht="23.1" customHeight="1">
      <c r="A11" s="32" t="s">
        <v>156</v>
      </c>
      <c r="B11" s="32">
        <v>3</v>
      </c>
      <c r="C11" s="32">
        <v>0</v>
      </c>
      <c r="D11" s="32">
        <v>144</v>
      </c>
      <c r="E11" s="33">
        <f>(C11*8+D11*4)/12</f>
        <v>48</v>
      </c>
    </row>
    <row r="12" spans="1:5" ht="23.1" customHeight="1">
      <c r="A12" s="32" t="s">
        <v>157</v>
      </c>
      <c r="B12" s="32">
        <f>3+10</f>
        <v>13</v>
      </c>
      <c r="C12" s="32">
        <v>156</v>
      </c>
      <c r="D12" s="32">
        <v>428</v>
      </c>
      <c r="E12" s="33">
        <f t="shared" si="0"/>
        <v>246.66666666666666</v>
      </c>
    </row>
    <row r="13" spans="1:5" ht="23.1" customHeight="1">
      <c r="A13" s="32" t="s">
        <v>158</v>
      </c>
      <c r="B13" s="32">
        <f>10+17</f>
        <v>27</v>
      </c>
      <c r="C13" s="32">
        <v>443</v>
      </c>
      <c r="D13" s="32">
        <v>764</v>
      </c>
      <c r="E13" s="33">
        <f t="shared" si="0"/>
        <v>550</v>
      </c>
    </row>
    <row r="14" spans="1:5" ht="23.1" customHeight="1">
      <c r="A14" s="32" t="s">
        <v>159</v>
      </c>
      <c r="B14" s="32">
        <f>SUM(B11:B13)</f>
        <v>43</v>
      </c>
      <c r="C14" s="32">
        <f>SUM(C11:C13)</f>
        <v>599</v>
      </c>
      <c r="D14" s="32">
        <f>SUM(D11:D13)</f>
        <v>1336</v>
      </c>
      <c r="E14" s="33">
        <f t="shared" si="0"/>
        <v>844.66666666666663</v>
      </c>
    </row>
    <row r="15" spans="1:5" ht="15.75">
      <c r="A15" s="43"/>
      <c r="B15" s="43"/>
      <c r="C15" s="43"/>
      <c r="D15" s="43"/>
      <c r="E15" s="43"/>
    </row>
    <row r="16" spans="1:5" ht="35.1" customHeight="1">
      <c r="A16" s="28"/>
      <c r="B16" s="28" t="s">
        <v>151</v>
      </c>
      <c r="C16" s="28" t="s">
        <v>152</v>
      </c>
      <c r="D16" s="28" t="s">
        <v>153</v>
      </c>
      <c r="E16" s="28" t="s">
        <v>160</v>
      </c>
    </row>
    <row r="17" spans="1:5" ht="21.95" customHeight="1">
      <c r="A17" s="42" t="s">
        <v>162</v>
      </c>
      <c r="B17" s="32"/>
      <c r="C17" s="32"/>
      <c r="D17" s="32"/>
      <c r="E17" s="32"/>
    </row>
    <row r="18" spans="1:5" ht="21.95" customHeight="1">
      <c r="A18" s="32">
        <v>2020</v>
      </c>
      <c r="B18" s="32">
        <v>7</v>
      </c>
      <c r="C18" s="32"/>
      <c r="D18" s="32">
        <v>345</v>
      </c>
      <c r="E18" s="33">
        <f t="shared" ref="E18:E19" si="1">(C18*8+D18*4)/12</f>
        <v>115</v>
      </c>
    </row>
    <row r="19" spans="1:5" ht="21.95" customHeight="1">
      <c r="A19" s="32">
        <v>2021</v>
      </c>
      <c r="B19" s="32"/>
      <c r="C19" s="32">
        <v>331</v>
      </c>
      <c r="D19" s="32">
        <v>928</v>
      </c>
      <c r="E19" s="33">
        <f t="shared" si="1"/>
        <v>530</v>
      </c>
    </row>
    <row r="20" spans="1:5" ht="21.95" customHeight="1">
      <c r="A20" s="32"/>
      <c r="B20" s="32"/>
      <c r="C20" s="32"/>
      <c r="D20" s="32"/>
      <c r="E20" s="32"/>
    </row>
    <row r="21" spans="1:5" ht="21.95" customHeight="1">
      <c r="A21" s="32" t="s">
        <v>159</v>
      </c>
      <c r="B21" s="32">
        <f>SUM(B18:B20)</f>
        <v>7</v>
      </c>
      <c r="C21" s="32">
        <f>SUM(C18:C20)</f>
        <v>331</v>
      </c>
      <c r="D21" s="32">
        <f>SUM(D18:D20)</f>
        <v>1273</v>
      </c>
      <c r="E21" s="33"/>
    </row>
    <row r="22" spans="1:5" ht="15.75">
      <c r="A22" s="43"/>
      <c r="B22" s="43"/>
      <c r="C22" s="43"/>
      <c r="D22" s="43"/>
      <c r="E22" s="43"/>
    </row>
    <row r="23" spans="1:5" ht="24" customHeight="1">
      <c r="A23" s="117" t="s">
        <v>237</v>
      </c>
      <c r="B23" s="33" t="s">
        <v>233</v>
      </c>
      <c r="C23" s="33" t="s">
        <v>234</v>
      </c>
      <c r="D23" s="33" t="s">
        <v>235</v>
      </c>
      <c r="E23" s="33"/>
    </row>
    <row r="24" spans="1:5" ht="27" customHeight="1">
      <c r="A24" s="26" t="s">
        <v>236</v>
      </c>
      <c r="B24" s="26">
        <f>E4*0.56+E11*0.8</f>
        <v>125.20000000000002</v>
      </c>
      <c r="C24" s="26">
        <f>E5*0.56+E12*0.8</f>
        <v>598.66666666666674</v>
      </c>
      <c r="D24" s="26">
        <f>E6*0.56+E13*0.8</f>
        <v>974.42666666666673</v>
      </c>
      <c r="E24" s="118" t="s">
        <v>279</v>
      </c>
    </row>
    <row r="25" spans="1:5" ht="26.25" customHeight="1">
      <c r="A25" s="118" t="s">
        <v>238</v>
      </c>
      <c r="B25" s="119">
        <f>E4+E11</f>
        <v>203</v>
      </c>
      <c r="C25" s="119">
        <f>E5+E12</f>
        <v>963.33333333333326</v>
      </c>
      <c r="D25" s="119">
        <f>E6+E13</f>
        <v>1504.3333333333335</v>
      </c>
      <c r="E25" s="26"/>
    </row>
    <row r="26" spans="1:5" ht="24" customHeight="1">
      <c r="A26" s="118" t="s">
        <v>284</v>
      </c>
      <c r="B26" s="26">
        <f>B24</f>
        <v>125.20000000000002</v>
      </c>
      <c r="C26" s="119">
        <f>C24+E18</f>
        <v>713.66666666666674</v>
      </c>
      <c r="D26" s="119">
        <f>D24+E19</f>
        <v>1504.4266666666667</v>
      </c>
      <c r="E26" s="26"/>
    </row>
    <row r="27" spans="1:5" ht="22.5" customHeight="1">
      <c r="A27" s="142" t="s">
        <v>285</v>
      </c>
      <c r="B27" s="119">
        <f>B25</f>
        <v>203</v>
      </c>
      <c r="C27" s="119">
        <f>C25+E18</f>
        <v>1078.3333333333333</v>
      </c>
      <c r="D27" s="119">
        <f>E19+D25</f>
        <v>2034.3333333333335</v>
      </c>
      <c r="E27" s="26"/>
    </row>
  </sheetData>
  <mergeCells count="1">
    <mergeCell ref="A1:E1"/>
  </mergeCells>
  <phoneticPr fontId="38" type="noConversion"/>
  <printOptions horizontalCentered="1"/>
  <pageMargins left="0.70069444444444495" right="0.70069444444444495" top="0.75138888888888899" bottom="0.75138888888888899" header="0.29861111111111099" footer="0.29861111111111099"/>
  <pageSetup paperSize="9" orientation="portrait" r:id="rId1"/>
</worksheet>
</file>

<file path=xl/worksheets/sheet7.xml><?xml version="1.0" encoding="utf-8"?>
<worksheet xmlns="http://schemas.openxmlformats.org/spreadsheetml/2006/main" xmlns:r="http://schemas.openxmlformats.org/officeDocument/2006/relationships">
  <dimension ref="A1:M49"/>
  <sheetViews>
    <sheetView topLeftCell="A21" workbookViewId="0">
      <selection activeCell="J35" sqref="J35"/>
    </sheetView>
  </sheetViews>
  <sheetFormatPr defaultColWidth="9" defaultRowHeight="13.5"/>
  <cols>
    <col min="1" max="1" width="23.625" customWidth="1"/>
    <col min="2" max="2" width="10.25" customWidth="1"/>
    <col min="3" max="3" width="9.625" customWidth="1"/>
    <col min="9" max="9" width="20" customWidth="1"/>
    <col min="10" max="10" width="14.75" customWidth="1"/>
    <col min="11" max="11" width="15" customWidth="1"/>
    <col min="12" max="12" width="15.625" customWidth="1"/>
    <col min="13" max="13" width="13.625" customWidth="1"/>
  </cols>
  <sheetData>
    <row r="1" spans="1:13" ht="25.5">
      <c r="A1" s="154" t="s">
        <v>295</v>
      </c>
      <c r="B1" s="154"/>
      <c r="C1" s="154"/>
      <c r="D1" s="154"/>
      <c r="E1" s="154"/>
      <c r="F1" s="154"/>
      <c r="G1" s="154"/>
      <c r="H1" s="26"/>
      <c r="I1" s="163" t="s">
        <v>296</v>
      </c>
      <c r="J1" s="164"/>
      <c r="K1" s="164"/>
      <c r="L1" s="164"/>
      <c r="M1" s="164"/>
    </row>
    <row r="2" spans="1:13" ht="28.5">
      <c r="A2" s="28" t="s">
        <v>163</v>
      </c>
      <c r="B2" s="120" t="s">
        <v>239</v>
      </c>
      <c r="C2" s="120" t="s">
        <v>240</v>
      </c>
      <c r="D2" s="29" t="s">
        <v>164</v>
      </c>
      <c r="E2" s="29" t="s">
        <v>165</v>
      </c>
      <c r="F2" s="29" t="s">
        <v>154</v>
      </c>
      <c r="G2" s="123" t="s">
        <v>166</v>
      </c>
      <c r="H2" s="26"/>
      <c r="I2" s="29" t="s">
        <v>249</v>
      </c>
      <c r="J2" s="29" t="s">
        <v>250</v>
      </c>
      <c r="K2" s="29" t="s">
        <v>254</v>
      </c>
      <c r="L2" s="29" t="s">
        <v>265</v>
      </c>
      <c r="M2" s="29"/>
    </row>
    <row r="3" spans="1:13" ht="15.75">
      <c r="A3" s="30" t="s">
        <v>167</v>
      </c>
      <c r="B3" s="28"/>
      <c r="C3" s="28"/>
      <c r="D3" s="122">
        <f t="shared" ref="D3" si="0">D6+D7+D10+D14+D15+D16+D17+D9+D8</f>
        <v>17</v>
      </c>
      <c r="E3" s="122">
        <f>E6+E7+E10+E14+E15+E16+E17+E9+E8</f>
        <v>13.780529755761949</v>
      </c>
      <c r="F3" s="122">
        <f t="shared" ref="F3:G3" si="1">F6+F7+F10+F14+F15+F16+F17+F9+F8</f>
        <v>14</v>
      </c>
      <c r="G3" s="124">
        <f t="shared" si="1"/>
        <v>52</v>
      </c>
      <c r="H3" s="126" t="s">
        <v>251</v>
      </c>
      <c r="I3" s="26">
        <v>81700</v>
      </c>
      <c r="J3" s="26">
        <v>14</v>
      </c>
      <c r="K3" s="26">
        <f>I3*J3</f>
        <v>1143800</v>
      </c>
      <c r="L3" s="26">
        <f>K3*1.2</f>
        <v>1372560</v>
      </c>
      <c r="M3" s="26"/>
    </row>
    <row r="4" spans="1:13" ht="15.75">
      <c r="A4" s="31" t="s">
        <v>168</v>
      </c>
      <c r="B4" s="32"/>
      <c r="C4" s="32"/>
      <c r="D4" s="33"/>
      <c r="E4" s="34"/>
      <c r="F4" s="35"/>
      <c r="G4" s="125"/>
      <c r="H4" s="126" t="s">
        <v>252</v>
      </c>
      <c r="I4" s="26">
        <v>84000</v>
      </c>
      <c r="J4" s="26">
        <v>66</v>
      </c>
      <c r="K4" s="26">
        <f>I4*J4</f>
        <v>5544000</v>
      </c>
      <c r="L4" s="26">
        <f>K4*1.2</f>
        <v>6652800</v>
      </c>
      <c r="M4" s="26"/>
    </row>
    <row r="5" spans="1:13" ht="15.75">
      <c r="A5" s="36" t="s">
        <v>34</v>
      </c>
      <c r="B5" s="32"/>
      <c r="C5" s="32"/>
      <c r="D5" s="33"/>
      <c r="E5" s="33"/>
      <c r="F5" s="34"/>
      <c r="G5" s="125"/>
      <c r="H5" s="126" t="s">
        <v>253</v>
      </c>
      <c r="I5" s="26">
        <v>86300</v>
      </c>
      <c r="J5" s="26">
        <v>107</v>
      </c>
      <c r="K5" s="26">
        <f>I5*J5</f>
        <v>9234100</v>
      </c>
      <c r="L5" s="26">
        <f>K5*1.2</f>
        <v>11080920</v>
      </c>
      <c r="M5" s="26"/>
    </row>
    <row r="6" spans="1:13" ht="15.75">
      <c r="A6" s="37" t="s">
        <v>169</v>
      </c>
      <c r="B6" s="32"/>
      <c r="C6" s="32">
        <v>30</v>
      </c>
      <c r="D6" s="32">
        <f>(B6*8+C6*4)/12</f>
        <v>10</v>
      </c>
      <c r="E6" s="33">
        <v>8.1578947368421009</v>
      </c>
      <c r="F6" s="35">
        <v>8</v>
      </c>
      <c r="G6" s="35">
        <v>2</v>
      </c>
    </row>
    <row r="7" spans="1:13" ht="15.75">
      <c r="A7" s="37" t="s">
        <v>170</v>
      </c>
      <c r="B7" s="32"/>
      <c r="C7" s="32">
        <v>12</v>
      </c>
      <c r="D7" s="32">
        <f>(B7*8+C7*4)/12</f>
        <v>4</v>
      </c>
      <c r="E7" s="33">
        <f>48/13.5</f>
        <v>3.5555555555555554</v>
      </c>
      <c r="F7" s="35">
        <v>4</v>
      </c>
      <c r="G7" s="35">
        <v>0</v>
      </c>
    </row>
    <row r="8" spans="1:13" ht="15.75">
      <c r="A8" s="37" t="s">
        <v>171</v>
      </c>
      <c r="B8" s="32"/>
      <c r="C8" s="32"/>
      <c r="D8" s="32"/>
      <c r="E8" s="33"/>
      <c r="F8" s="35"/>
      <c r="G8" s="35"/>
    </row>
    <row r="9" spans="1:13" ht="15.75">
      <c r="A9" s="38" t="s">
        <v>38</v>
      </c>
      <c r="B9" s="32"/>
      <c r="C9" s="32"/>
      <c r="D9" s="32"/>
      <c r="E9" s="33"/>
      <c r="F9" s="35"/>
      <c r="G9" s="39"/>
    </row>
    <row r="10" spans="1:13" ht="15.75">
      <c r="A10" s="36" t="s">
        <v>39</v>
      </c>
      <c r="B10" s="32"/>
      <c r="C10" s="32">
        <v>3</v>
      </c>
      <c r="D10" s="32">
        <v>3</v>
      </c>
      <c r="E10" s="165">
        <f>(E6+E7)/85*15</f>
        <v>2.0670794633642919</v>
      </c>
      <c r="F10" s="166">
        <v>2</v>
      </c>
      <c r="G10" s="167">
        <v>50</v>
      </c>
    </row>
    <row r="11" spans="1:13" ht="15.75">
      <c r="A11" s="36" t="s">
        <v>40</v>
      </c>
      <c r="B11" s="32"/>
      <c r="C11" s="32">
        <v>2</v>
      </c>
      <c r="D11" s="32">
        <v>2</v>
      </c>
      <c r="E11" s="165"/>
      <c r="F11" s="166"/>
      <c r="G11" s="168"/>
    </row>
    <row r="12" spans="1:13" ht="15.75">
      <c r="A12" s="36" t="s">
        <v>41</v>
      </c>
      <c r="B12" s="32"/>
      <c r="C12" s="32">
        <v>42</v>
      </c>
      <c r="D12" s="32">
        <v>42</v>
      </c>
      <c r="E12" s="165"/>
      <c r="F12" s="166"/>
      <c r="G12" s="169"/>
    </row>
    <row r="13" spans="1:13" ht="15.75">
      <c r="A13" s="40" t="s">
        <v>42</v>
      </c>
      <c r="B13" s="32"/>
      <c r="C13" s="32">
        <v>13</v>
      </c>
      <c r="D13" s="32"/>
      <c r="E13" s="41"/>
      <c r="F13" s="41"/>
      <c r="G13" s="41"/>
    </row>
    <row r="14" spans="1:13" ht="15.75">
      <c r="A14" s="40" t="s">
        <v>43</v>
      </c>
      <c r="B14" s="32"/>
      <c r="C14" s="32"/>
      <c r="D14" s="32"/>
      <c r="E14" s="41"/>
      <c r="F14" s="41"/>
      <c r="G14" s="41"/>
    </row>
    <row r="15" spans="1:13" ht="15.75">
      <c r="A15" s="40" t="s">
        <v>44</v>
      </c>
      <c r="B15" s="32"/>
      <c r="C15" s="32"/>
      <c r="D15" s="32"/>
      <c r="E15" s="41"/>
      <c r="F15" s="41"/>
      <c r="G15" s="41"/>
    </row>
    <row r="16" spans="1:13" ht="15.75">
      <c r="A16" s="40" t="s">
        <v>45</v>
      </c>
      <c r="B16" s="32"/>
      <c r="C16" s="32">
        <v>13</v>
      </c>
      <c r="D16" s="32"/>
      <c r="E16" s="41"/>
      <c r="F16" s="41"/>
      <c r="G16" s="41"/>
    </row>
    <row r="17" spans="1:7" ht="15.75">
      <c r="A17" s="40" t="s">
        <v>46</v>
      </c>
      <c r="B17" s="32"/>
      <c r="C17" s="32"/>
      <c r="D17" s="32"/>
      <c r="E17" s="41"/>
      <c r="F17" s="41"/>
      <c r="G17" s="41"/>
    </row>
    <row r="18" spans="1:7" ht="28.5">
      <c r="A18" s="28" t="s">
        <v>163</v>
      </c>
      <c r="B18" s="120" t="s">
        <v>241</v>
      </c>
      <c r="C18" s="120" t="s">
        <v>242</v>
      </c>
      <c r="D18" s="29" t="s">
        <v>164</v>
      </c>
      <c r="E18" s="29" t="s">
        <v>165</v>
      </c>
      <c r="F18" s="29" t="s">
        <v>154</v>
      </c>
      <c r="G18" s="29" t="s">
        <v>166</v>
      </c>
    </row>
    <row r="19" spans="1:7" ht="15.75">
      <c r="A19" s="30" t="s">
        <v>167</v>
      </c>
      <c r="B19" s="28"/>
      <c r="C19" s="28"/>
      <c r="D19" s="122">
        <f>DC23+D26+D30+D31+D32+D33+D25+D24</f>
        <v>4</v>
      </c>
      <c r="E19" s="122">
        <f>E22+E23+E26+E30+E31+E32+E33+E25+E24</f>
        <v>65.921339295952293</v>
      </c>
      <c r="F19" s="122">
        <f t="shared" ref="F19:G19" si="2">F22+F23+F26+F30+F31+F32+F33+F25+F24</f>
        <v>66</v>
      </c>
      <c r="G19" s="122">
        <f t="shared" si="2"/>
        <v>3</v>
      </c>
    </row>
    <row r="20" spans="1:7" ht="15.75">
      <c r="A20" s="31" t="s">
        <v>168</v>
      </c>
      <c r="B20" s="32"/>
      <c r="C20" s="32"/>
      <c r="D20" s="33"/>
      <c r="E20" s="34"/>
      <c r="F20" s="35"/>
      <c r="G20" s="35"/>
    </row>
    <row r="21" spans="1:7" ht="15.75">
      <c r="A21" s="36" t="s">
        <v>34</v>
      </c>
      <c r="B21" s="32"/>
      <c r="C21" s="32"/>
      <c r="D21" s="33"/>
      <c r="E21" s="33"/>
      <c r="F21" s="34"/>
      <c r="G21" s="35"/>
    </row>
    <row r="22" spans="1:7" ht="15.75">
      <c r="A22" s="37" t="s">
        <v>169</v>
      </c>
      <c r="B22" s="32">
        <v>30</v>
      </c>
      <c r="C22" s="32">
        <v>54</v>
      </c>
      <c r="D22" s="32">
        <f>(B22*8+C22*4)/12</f>
        <v>38</v>
      </c>
      <c r="E22" s="33">
        <f>717/19</f>
        <v>37.736842105263158</v>
      </c>
      <c r="F22" s="35">
        <v>38</v>
      </c>
      <c r="G22" s="35">
        <v>0</v>
      </c>
    </row>
    <row r="23" spans="1:7" ht="15.75">
      <c r="A23" s="37" t="s">
        <v>170</v>
      </c>
      <c r="B23" s="32">
        <v>12</v>
      </c>
      <c r="C23" s="32">
        <v>36</v>
      </c>
      <c r="D23" s="32">
        <f>(B23*8+C23*4)/12</f>
        <v>20</v>
      </c>
      <c r="E23" s="33">
        <f>247/13.5</f>
        <v>18.296296296296298</v>
      </c>
      <c r="F23" s="35">
        <v>18</v>
      </c>
      <c r="G23" s="35">
        <v>2</v>
      </c>
    </row>
    <row r="24" spans="1:7" ht="15.75">
      <c r="A24" s="37" t="s">
        <v>171</v>
      </c>
      <c r="B24" s="32"/>
      <c r="C24" s="32"/>
      <c r="D24" s="32"/>
      <c r="E24" s="33"/>
      <c r="F24" s="35"/>
      <c r="G24" s="35"/>
    </row>
    <row r="25" spans="1:7" ht="15.75">
      <c r="A25" s="38" t="s">
        <v>38</v>
      </c>
      <c r="B25" s="32"/>
      <c r="C25" s="32"/>
      <c r="D25" s="32"/>
      <c r="E25" s="33"/>
      <c r="F25" s="35"/>
      <c r="G25" s="39"/>
    </row>
    <row r="26" spans="1:7" ht="15.75">
      <c r="A26" s="36" t="s">
        <v>39</v>
      </c>
      <c r="B26" s="32">
        <v>3</v>
      </c>
      <c r="C26" s="32">
        <v>4</v>
      </c>
      <c r="D26" s="32">
        <v>4</v>
      </c>
      <c r="E26" s="165">
        <f>(E22+E23)/85*15</f>
        <v>9.8882008943928454</v>
      </c>
      <c r="F26" s="166">
        <v>10</v>
      </c>
      <c r="G26" s="167">
        <v>1</v>
      </c>
    </row>
    <row r="27" spans="1:7" ht="15.75">
      <c r="A27" s="36" t="s">
        <v>40</v>
      </c>
      <c r="B27" s="32">
        <v>2</v>
      </c>
      <c r="C27" s="32">
        <v>3</v>
      </c>
      <c r="D27" s="32">
        <v>3</v>
      </c>
      <c r="E27" s="165"/>
      <c r="F27" s="166"/>
      <c r="G27" s="168"/>
    </row>
    <row r="28" spans="1:7" ht="15.75">
      <c r="A28" s="36" t="s">
        <v>41</v>
      </c>
      <c r="B28" s="32">
        <v>42</v>
      </c>
      <c r="C28" s="32">
        <v>4</v>
      </c>
      <c r="D28" s="32">
        <v>4</v>
      </c>
      <c r="E28" s="165"/>
      <c r="F28" s="166"/>
      <c r="G28" s="169"/>
    </row>
    <row r="29" spans="1:7" ht="15.75">
      <c r="A29" s="40" t="s">
        <v>42</v>
      </c>
      <c r="B29" s="32">
        <v>13</v>
      </c>
      <c r="C29" s="32">
        <v>106</v>
      </c>
      <c r="D29" s="32"/>
      <c r="E29" s="41"/>
      <c r="F29" s="41"/>
      <c r="G29" s="41"/>
    </row>
    <row r="30" spans="1:7" ht="15.75">
      <c r="A30" s="40" t="s">
        <v>43</v>
      </c>
      <c r="B30" s="32"/>
      <c r="C30" s="32"/>
      <c r="D30" s="32"/>
      <c r="E30" s="41"/>
      <c r="F30" s="41"/>
      <c r="G30" s="41"/>
    </row>
    <row r="31" spans="1:7" ht="15.75">
      <c r="A31" s="40" t="s">
        <v>44</v>
      </c>
      <c r="B31" s="32"/>
      <c r="C31" s="32"/>
      <c r="D31" s="32"/>
      <c r="E31" s="41"/>
      <c r="F31" s="41"/>
      <c r="G31" s="41"/>
    </row>
    <row r="32" spans="1:7" ht="15.75">
      <c r="A32" s="40" t="s">
        <v>45</v>
      </c>
      <c r="B32" s="32">
        <v>13</v>
      </c>
      <c r="C32" s="32">
        <v>106</v>
      </c>
      <c r="D32" s="32"/>
      <c r="E32" s="41"/>
      <c r="F32" s="41"/>
      <c r="G32" s="41"/>
    </row>
    <row r="33" spans="1:7" ht="15.75">
      <c r="A33" s="40" t="s">
        <v>46</v>
      </c>
      <c r="B33" s="32"/>
      <c r="C33" s="32"/>
      <c r="D33" s="32"/>
      <c r="E33" s="41"/>
      <c r="F33" s="41"/>
      <c r="G33" s="41"/>
    </row>
    <row r="34" spans="1:7" ht="28.5">
      <c r="A34" s="28" t="s">
        <v>163</v>
      </c>
      <c r="B34" s="120" t="s">
        <v>243</v>
      </c>
      <c r="C34" s="120" t="s">
        <v>244</v>
      </c>
      <c r="D34" s="29" t="s">
        <v>164</v>
      </c>
      <c r="E34" s="29" t="s">
        <v>165</v>
      </c>
      <c r="F34" s="29" t="s">
        <v>154</v>
      </c>
      <c r="G34" s="29" t="s">
        <v>166</v>
      </c>
    </row>
    <row r="35" spans="1:7" ht="15.75">
      <c r="A35" s="30" t="s">
        <v>167</v>
      </c>
      <c r="B35" s="28"/>
      <c r="C35" s="28"/>
      <c r="D35" s="28"/>
      <c r="E35" s="122">
        <f>E38+E39+E42+E46+E47+E48+E49+E41+E40</f>
        <v>107.05882352941177</v>
      </c>
      <c r="F35" s="122">
        <f t="shared" ref="F35:G35" si="3">F38+F39+F42+F46+F47+F48+F49+F41+F40</f>
        <v>107</v>
      </c>
      <c r="G35" s="122">
        <f t="shared" si="3"/>
        <v>7</v>
      </c>
    </row>
    <row r="36" spans="1:7" ht="15.75">
      <c r="A36" s="31" t="s">
        <v>168</v>
      </c>
      <c r="B36" s="32"/>
      <c r="C36" s="32"/>
      <c r="D36" s="33"/>
      <c r="E36" s="34"/>
      <c r="F36" s="35"/>
      <c r="G36" s="35"/>
    </row>
    <row r="37" spans="1:7" ht="15.75">
      <c r="A37" s="36" t="s">
        <v>34</v>
      </c>
      <c r="B37" s="32"/>
      <c r="C37" s="32"/>
      <c r="D37" s="33"/>
      <c r="E37" s="33"/>
      <c r="F37" s="34"/>
      <c r="G37" s="35"/>
    </row>
    <row r="38" spans="1:7" ht="15.75">
      <c r="A38" s="37" t="s">
        <v>169</v>
      </c>
      <c r="B38" s="32">
        <v>54</v>
      </c>
      <c r="C38" s="32">
        <v>60</v>
      </c>
      <c r="D38" s="32">
        <f>(B38*8+C38*4)/12</f>
        <v>56</v>
      </c>
      <c r="E38" s="33">
        <v>50</v>
      </c>
      <c r="F38" s="35">
        <v>50</v>
      </c>
      <c r="G38" s="35">
        <v>6</v>
      </c>
    </row>
    <row r="39" spans="1:7" ht="15.75">
      <c r="A39" s="37" t="s">
        <v>170</v>
      </c>
      <c r="B39" s="32">
        <v>36</v>
      </c>
      <c r="C39" s="32">
        <v>55</v>
      </c>
      <c r="D39" s="33">
        <f>(B39*8+C39*4)/12</f>
        <v>42.333333333333336</v>
      </c>
      <c r="E39" s="33">
        <v>41</v>
      </c>
      <c r="F39" s="35">
        <v>41</v>
      </c>
      <c r="G39" s="35">
        <v>1</v>
      </c>
    </row>
    <row r="40" spans="1:7" ht="15.75">
      <c r="A40" s="37" t="s">
        <v>171</v>
      </c>
      <c r="B40" s="32"/>
      <c r="C40" s="32"/>
      <c r="D40" s="32"/>
      <c r="E40" s="33"/>
      <c r="F40" s="35"/>
      <c r="G40" s="35"/>
    </row>
    <row r="41" spans="1:7" ht="15.75">
      <c r="A41" s="38" t="s">
        <v>38</v>
      </c>
      <c r="B41" s="32"/>
      <c r="C41" s="32"/>
      <c r="D41" s="32"/>
      <c r="E41" s="33"/>
      <c r="F41" s="35"/>
      <c r="G41" s="39"/>
    </row>
    <row r="42" spans="1:7" ht="15.75">
      <c r="A42" s="36" t="s">
        <v>39</v>
      </c>
      <c r="B42" s="32">
        <v>4</v>
      </c>
      <c r="C42" s="32">
        <v>4</v>
      </c>
      <c r="D42" s="32">
        <v>9</v>
      </c>
      <c r="E42" s="165">
        <f>(E38+E39)/85*15</f>
        <v>16.058823529411764</v>
      </c>
      <c r="F42" s="166">
        <v>16</v>
      </c>
      <c r="G42" s="167">
        <v>0</v>
      </c>
    </row>
    <row r="43" spans="1:7" ht="15.75">
      <c r="A43" s="36" t="s">
        <v>40</v>
      </c>
      <c r="B43" s="32">
        <v>3</v>
      </c>
      <c r="C43" s="32">
        <v>3</v>
      </c>
      <c r="D43" s="32">
        <v>3</v>
      </c>
      <c r="E43" s="165"/>
      <c r="F43" s="166"/>
      <c r="G43" s="168"/>
    </row>
    <row r="44" spans="1:7" ht="15.75">
      <c r="A44" s="36" t="s">
        <v>41</v>
      </c>
      <c r="B44" s="32">
        <v>4</v>
      </c>
      <c r="C44" s="32">
        <v>4</v>
      </c>
      <c r="D44" s="32">
        <v>4</v>
      </c>
      <c r="E44" s="165"/>
      <c r="F44" s="166"/>
      <c r="G44" s="169"/>
    </row>
    <row r="45" spans="1:7" ht="15.75">
      <c r="A45" s="40" t="s">
        <v>42</v>
      </c>
      <c r="B45" s="32">
        <v>106</v>
      </c>
      <c r="C45" s="32">
        <v>106</v>
      </c>
      <c r="D45" s="32"/>
      <c r="E45" s="41"/>
      <c r="F45" s="41"/>
      <c r="G45" s="41"/>
    </row>
    <row r="46" spans="1:7" ht="15.75">
      <c r="A46" s="40" t="s">
        <v>43</v>
      </c>
      <c r="B46" s="32"/>
      <c r="C46" s="32"/>
      <c r="D46" s="32"/>
      <c r="E46" s="41"/>
      <c r="F46" s="41"/>
      <c r="G46" s="41"/>
    </row>
    <row r="47" spans="1:7" ht="15.75">
      <c r="A47" s="40" t="s">
        <v>44</v>
      </c>
      <c r="B47" s="32"/>
      <c r="C47" s="32"/>
      <c r="D47" s="32"/>
      <c r="E47" s="41"/>
      <c r="F47" s="41"/>
      <c r="G47" s="41"/>
    </row>
    <row r="48" spans="1:7" ht="15.75">
      <c r="A48" s="40" t="s">
        <v>45</v>
      </c>
      <c r="B48" s="32">
        <v>106</v>
      </c>
      <c r="C48" s="32">
        <v>106</v>
      </c>
      <c r="D48" s="32"/>
      <c r="E48" s="41"/>
      <c r="F48" s="41"/>
      <c r="G48" s="41"/>
    </row>
    <row r="49" spans="1:7" ht="15.75">
      <c r="A49" s="40" t="s">
        <v>46</v>
      </c>
      <c r="B49" s="32"/>
      <c r="C49" s="32"/>
      <c r="D49" s="32"/>
      <c r="E49" s="41"/>
      <c r="F49" s="41"/>
      <c r="G49" s="41"/>
    </row>
  </sheetData>
  <mergeCells count="11">
    <mergeCell ref="I1:M1"/>
    <mergeCell ref="E42:E44"/>
    <mergeCell ref="F42:F44"/>
    <mergeCell ref="G42:G44"/>
    <mergeCell ref="A1:G1"/>
    <mergeCell ref="E10:E12"/>
    <mergeCell ref="F10:F12"/>
    <mergeCell ref="G10:G12"/>
    <mergeCell ref="E26:E28"/>
    <mergeCell ref="F26:F28"/>
    <mergeCell ref="G26:G28"/>
  </mergeCells>
  <phoneticPr fontId="38"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E35"/>
  <sheetViews>
    <sheetView workbookViewId="0">
      <selection activeCell="D28" sqref="D28"/>
    </sheetView>
  </sheetViews>
  <sheetFormatPr defaultColWidth="9" defaultRowHeight="13.5"/>
  <cols>
    <col min="1" max="1" width="19.375" customWidth="1"/>
    <col min="2" max="2" width="17.25" customWidth="1"/>
    <col min="3" max="3" width="16.875" customWidth="1"/>
    <col min="4" max="4" width="16.375" customWidth="1"/>
    <col min="5" max="5" width="18" customWidth="1"/>
  </cols>
  <sheetData>
    <row r="1" spans="1:5" ht="25.5">
      <c r="A1" s="170" t="s">
        <v>297</v>
      </c>
      <c r="B1" s="170"/>
      <c r="C1" s="170"/>
      <c r="D1" s="170"/>
      <c r="E1" s="18"/>
    </row>
    <row r="3" spans="1:5" ht="15.75">
      <c r="A3" s="19" t="s">
        <v>163</v>
      </c>
      <c r="B3" s="20" t="s">
        <v>172</v>
      </c>
      <c r="C3" s="20" t="s">
        <v>173</v>
      </c>
      <c r="D3" s="21" t="s">
        <v>174</v>
      </c>
      <c r="E3" s="22" t="s">
        <v>175</v>
      </c>
    </row>
    <row r="4" spans="1:5" ht="15.75">
      <c r="A4" s="23" t="s">
        <v>176</v>
      </c>
      <c r="B4" s="24">
        <f>教育成本归集表!B6</f>
        <v>4864961.46</v>
      </c>
      <c r="C4" s="24">
        <f t="shared" ref="C4:C11" si="0">B4-D4</f>
        <v>3492401.46</v>
      </c>
      <c r="D4" s="24">
        <f>1372560</f>
        <v>1372560</v>
      </c>
      <c r="E4" s="118" t="s">
        <v>290</v>
      </c>
    </row>
    <row r="5" spans="1:5" ht="15.75">
      <c r="A5" s="23" t="s">
        <v>177</v>
      </c>
      <c r="B5" s="24">
        <f>教育成本归集表!B32</f>
        <v>351536.94</v>
      </c>
      <c r="C5" s="24">
        <f t="shared" si="0"/>
        <v>159378.54</v>
      </c>
      <c r="D5" s="24">
        <v>192158.4</v>
      </c>
      <c r="E5" s="136" t="s">
        <v>268</v>
      </c>
    </row>
    <row r="6" spans="1:5" ht="15.75">
      <c r="A6" s="27" t="s">
        <v>178</v>
      </c>
      <c r="B6" s="24">
        <f>教育成本归集表!B9</f>
        <v>78490.66</v>
      </c>
      <c r="C6" s="24">
        <f t="shared" si="0"/>
        <v>0</v>
      </c>
      <c r="D6" s="24">
        <v>78490.66</v>
      </c>
      <c r="E6" s="135"/>
    </row>
    <row r="7" spans="1:5" ht="15.75">
      <c r="A7" s="23" t="s">
        <v>179</v>
      </c>
      <c r="B7" s="24"/>
      <c r="C7" s="24">
        <f t="shared" si="0"/>
        <v>0</v>
      </c>
      <c r="D7" s="24"/>
      <c r="E7" s="26"/>
    </row>
    <row r="8" spans="1:5" ht="15.75">
      <c r="A8" s="27" t="s">
        <v>180</v>
      </c>
      <c r="B8" s="24"/>
      <c r="C8" s="24">
        <f t="shared" si="0"/>
        <v>0</v>
      </c>
      <c r="D8" s="24"/>
      <c r="E8" s="26"/>
    </row>
    <row r="9" spans="1:5" ht="15.75">
      <c r="A9" s="23" t="s">
        <v>181</v>
      </c>
      <c r="B9" s="24">
        <f>教育成本归集表!B10</f>
        <v>8940</v>
      </c>
      <c r="C9" s="24">
        <f t="shared" si="0"/>
        <v>-59688</v>
      </c>
      <c r="D9" s="24">
        <v>68628</v>
      </c>
      <c r="E9" s="136" t="s">
        <v>270</v>
      </c>
    </row>
    <row r="10" spans="1:5" ht="15.75">
      <c r="A10" s="23" t="s">
        <v>182</v>
      </c>
      <c r="B10" s="24">
        <f>教育成本归集表!B31</f>
        <v>0</v>
      </c>
      <c r="C10" s="24">
        <f t="shared" si="0"/>
        <v>-27451.200000000001</v>
      </c>
      <c r="D10" s="24">
        <v>27451.200000000001</v>
      </c>
      <c r="E10" s="134">
        <v>0.02</v>
      </c>
    </row>
    <row r="11" spans="1:5" ht="15.75">
      <c r="A11" s="23" t="s">
        <v>183</v>
      </c>
      <c r="B11" s="24">
        <f>教育成本归集表!B26</f>
        <v>31790.31</v>
      </c>
      <c r="C11" s="24">
        <f t="shared" si="0"/>
        <v>-2523.6899999999987</v>
      </c>
      <c r="D11" s="24">
        <v>34314</v>
      </c>
      <c r="E11" s="135">
        <v>2.5000000000000001E-2</v>
      </c>
    </row>
    <row r="12" spans="1:5">
      <c r="A12" s="118" t="s">
        <v>267</v>
      </c>
      <c r="B12" s="133">
        <f>B4+B5+B6+B8+B9+B10+B11</f>
        <v>5335719.37</v>
      </c>
      <c r="C12" s="133">
        <f t="shared" ref="C12:D12" si="1">C4+C5+C6+C8+C9+C10+C11</f>
        <v>3562117.11</v>
      </c>
      <c r="D12" s="133">
        <f t="shared" si="1"/>
        <v>1773602.2599999998</v>
      </c>
      <c r="E12" s="26"/>
    </row>
    <row r="13" spans="1:5" ht="14.25">
      <c r="A13" s="132" t="s">
        <v>266</v>
      </c>
      <c r="B13" s="131">
        <f>D4+D5+D6++D7+D8+D9+D10+D11</f>
        <v>1773602.2599999998</v>
      </c>
    </row>
    <row r="14" spans="1:5" ht="15.75">
      <c r="A14" s="19" t="s">
        <v>163</v>
      </c>
      <c r="B14" s="20" t="s">
        <v>184</v>
      </c>
      <c r="C14" s="20" t="s">
        <v>185</v>
      </c>
      <c r="D14" s="21" t="s">
        <v>186</v>
      </c>
      <c r="E14" s="22" t="s">
        <v>175</v>
      </c>
    </row>
    <row r="15" spans="1:5" ht="15.75">
      <c r="A15" s="23" t="s">
        <v>176</v>
      </c>
      <c r="B15" s="24">
        <f>教育成本归集表!E6</f>
        <v>10577360.479999999</v>
      </c>
      <c r="C15" s="24">
        <f t="shared" ref="C15:C22" si="2">B15-D15</f>
        <v>3924560.4799999986</v>
      </c>
      <c r="D15" s="24">
        <v>6652800</v>
      </c>
      <c r="E15" s="118" t="s">
        <v>290</v>
      </c>
    </row>
    <row r="16" spans="1:5" ht="15.75">
      <c r="A16" s="23" t="s">
        <v>177</v>
      </c>
      <c r="B16" s="24">
        <f>教育成本归集表!E32</f>
        <v>875978.3</v>
      </c>
      <c r="C16" s="24">
        <f t="shared" si="2"/>
        <v>0</v>
      </c>
      <c r="D16" s="24">
        <v>875978.3</v>
      </c>
      <c r="E16" s="136" t="s">
        <v>268</v>
      </c>
    </row>
    <row r="17" spans="1:5" ht="15.75">
      <c r="A17" s="27" t="s">
        <v>178</v>
      </c>
      <c r="B17" s="24">
        <f>教育成本归集表!E9</f>
        <v>429931.76</v>
      </c>
      <c r="C17" s="24">
        <f t="shared" si="2"/>
        <v>0</v>
      </c>
      <c r="D17" s="24">
        <v>429931.76</v>
      </c>
      <c r="E17" s="135"/>
    </row>
    <row r="18" spans="1:5" ht="15.75">
      <c r="A18" s="23" t="s">
        <v>179</v>
      </c>
      <c r="B18" s="24"/>
      <c r="C18" s="24">
        <f t="shared" si="2"/>
        <v>0</v>
      </c>
      <c r="D18" s="24"/>
      <c r="E18" s="26"/>
    </row>
    <row r="19" spans="1:5" ht="15.75">
      <c r="A19" s="27" t="s">
        <v>180</v>
      </c>
      <c r="B19" s="24"/>
      <c r="C19" s="24">
        <f t="shared" si="2"/>
        <v>0</v>
      </c>
      <c r="D19" s="24"/>
      <c r="E19" s="26"/>
    </row>
    <row r="20" spans="1:5" ht="15.75">
      <c r="A20" s="23" t="s">
        <v>181</v>
      </c>
      <c r="B20" s="24">
        <f>教育成本归集表!E10</f>
        <v>138408</v>
      </c>
      <c r="C20" s="24">
        <f t="shared" si="2"/>
        <v>-194232</v>
      </c>
      <c r="D20" s="24">
        <v>332640</v>
      </c>
      <c r="E20" s="134" t="s">
        <v>269</v>
      </c>
    </row>
    <row r="21" spans="1:5" ht="15.75">
      <c r="A21" s="23" t="s">
        <v>182</v>
      </c>
      <c r="B21" s="24">
        <f>教育成本归集表!E31</f>
        <v>55142.37</v>
      </c>
      <c r="C21" s="24">
        <f t="shared" si="2"/>
        <v>-77913.63</v>
      </c>
      <c r="D21" s="24">
        <f>D15*0.02</f>
        <v>133056</v>
      </c>
      <c r="E21" s="134">
        <v>0.02</v>
      </c>
    </row>
    <row r="22" spans="1:5" ht="15.75">
      <c r="A22" s="23" t="s">
        <v>183</v>
      </c>
      <c r="B22" s="24">
        <f>教育成本归集表!E26</f>
        <v>3637</v>
      </c>
      <c r="C22" s="24">
        <f t="shared" si="2"/>
        <v>-162683</v>
      </c>
      <c r="D22" s="24">
        <f>D15*0.025</f>
        <v>166320</v>
      </c>
      <c r="E22" s="135">
        <v>2.5000000000000001E-2</v>
      </c>
    </row>
    <row r="23" spans="1:5">
      <c r="A23" s="118" t="s">
        <v>267</v>
      </c>
      <c r="B23" s="133">
        <f>B15+B16+B17+B19+B20+B21+B22</f>
        <v>12080457.909999998</v>
      </c>
      <c r="C23" s="133">
        <f t="shared" ref="C23" si="3">C15+C16+C17+C19+C20+C21+C22</f>
        <v>3489731.8499999987</v>
      </c>
      <c r="D23" s="133">
        <f t="shared" ref="D23" si="4">D15+D16+D17+D19+D20+D21+D22</f>
        <v>8590726.0599999987</v>
      </c>
      <c r="E23" s="26"/>
    </row>
    <row r="24" spans="1:5" ht="14.25">
      <c r="A24" s="132" t="s">
        <v>266</v>
      </c>
      <c r="B24" s="131">
        <f>D15+D16+D17++D18+D19+D20+D21+D22</f>
        <v>8590726.0599999987</v>
      </c>
    </row>
    <row r="25" spans="1:5" ht="15.75">
      <c r="A25" s="19" t="s">
        <v>163</v>
      </c>
      <c r="B25" s="20" t="s">
        <v>187</v>
      </c>
      <c r="C25" s="20" t="s">
        <v>188</v>
      </c>
      <c r="D25" s="21" t="s">
        <v>189</v>
      </c>
      <c r="E25" s="22" t="s">
        <v>175</v>
      </c>
    </row>
    <row r="26" spans="1:5" ht="15.75">
      <c r="A26" s="23" t="s">
        <v>176</v>
      </c>
      <c r="B26" s="24">
        <f>教育成本归集表!H6</f>
        <v>15749492.859999999</v>
      </c>
      <c r="C26" s="24">
        <f t="shared" ref="C26:C33" si="5">B26-D26</f>
        <v>4668572.8599999994</v>
      </c>
      <c r="D26" s="24">
        <f>教职工人数核定表!L5</f>
        <v>11080920</v>
      </c>
      <c r="E26" s="118" t="s">
        <v>290</v>
      </c>
    </row>
    <row r="27" spans="1:5" ht="15.75">
      <c r="A27" s="23" t="s">
        <v>177</v>
      </c>
      <c r="B27" s="24">
        <f>教育成本归集表!H32</f>
        <v>833722.63</v>
      </c>
      <c r="C27" s="24">
        <f>B27-D27</f>
        <v>0</v>
      </c>
      <c r="D27" s="24">
        <v>833722.63</v>
      </c>
      <c r="E27" s="136" t="s">
        <v>268</v>
      </c>
    </row>
    <row r="28" spans="1:5" ht="15.75">
      <c r="A28" s="27" t="s">
        <v>178</v>
      </c>
      <c r="B28" s="24">
        <f>教育成本归集表!H9</f>
        <v>1609825.56</v>
      </c>
      <c r="C28" s="24">
        <f t="shared" si="5"/>
        <v>0</v>
      </c>
      <c r="D28" s="24">
        <v>1609825.56</v>
      </c>
      <c r="E28" s="135"/>
    </row>
    <row r="29" spans="1:5" ht="15.75">
      <c r="A29" s="23" t="s">
        <v>179</v>
      </c>
      <c r="B29" s="24"/>
      <c r="C29" s="24">
        <f t="shared" si="5"/>
        <v>0</v>
      </c>
      <c r="D29" s="24"/>
      <c r="E29" s="26"/>
    </row>
    <row r="30" spans="1:5" ht="15.75">
      <c r="A30" s="27" t="s">
        <v>180</v>
      </c>
      <c r="B30" s="24"/>
      <c r="C30" s="24">
        <f t="shared" si="5"/>
        <v>0</v>
      </c>
      <c r="D30" s="24"/>
      <c r="E30" s="26"/>
    </row>
    <row r="31" spans="1:5" ht="15.75">
      <c r="A31" s="23" t="s">
        <v>181</v>
      </c>
      <c r="B31" s="24">
        <f>教育成本归集表!H10</f>
        <v>373533</v>
      </c>
      <c r="C31" s="24">
        <f t="shared" si="5"/>
        <v>-154623</v>
      </c>
      <c r="D31" s="24">
        <v>528156</v>
      </c>
      <c r="E31" s="134" t="s">
        <v>269</v>
      </c>
    </row>
    <row r="32" spans="1:5" ht="15.75">
      <c r="A32" s="23" t="s">
        <v>182</v>
      </c>
      <c r="B32" s="24">
        <f>教育成本归集表!H31</f>
        <v>113301.67</v>
      </c>
      <c r="C32" s="24">
        <f t="shared" si="5"/>
        <v>-108316.73</v>
      </c>
      <c r="D32" s="24">
        <f>D26*0.02</f>
        <v>221618.4</v>
      </c>
      <c r="E32" s="134">
        <v>0.02</v>
      </c>
    </row>
    <row r="33" spans="1:5" ht="15.75">
      <c r="A33" s="23" t="s">
        <v>183</v>
      </c>
      <c r="B33" s="24">
        <f>教育成本归集表!H26</f>
        <v>180595</v>
      </c>
      <c r="C33" s="24">
        <f t="shared" si="5"/>
        <v>-96428</v>
      </c>
      <c r="D33" s="24">
        <f>D26*0.025</f>
        <v>277023</v>
      </c>
      <c r="E33" s="135">
        <v>2.5000000000000001E-2</v>
      </c>
    </row>
    <row r="34" spans="1:5">
      <c r="A34" s="118" t="s">
        <v>267</v>
      </c>
      <c r="B34" s="133">
        <f>B26+B27+B28+B30+B31+B32+B33</f>
        <v>18860470.720000003</v>
      </c>
      <c r="C34" s="133">
        <f>C26+C27+C28+C30+C31+C32+C33</f>
        <v>4309205.129999999</v>
      </c>
      <c r="D34" s="133">
        <f t="shared" ref="D34" si="6">D26+D27+D28+D30+D31+D32+D33</f>
        <v>14551265.590000002</v>
      </c>
      <c r="E34" s="26"/>
    </row>
    <row r="35" spans="1:5" ht="14.25">
      <c r="A35" s="132" t="s">
        <v>266</v>
      </c>
      <c r="B35" s="131">
        <f>D26+D27+D28++D29+D30+D31+D32+D33</f>
        <v>14551265.590000002</v>
      </c>
    </row>
  </sheetData>
  <mergeCells count="1">
    <mergeCell ref="A1:D1"/>
  </mergeCells>
  <phoneticPr fontId="38" type="noConversion"/>
  <pageMargins left="0.78740157480314965" right="0.35433070866141736" top="0.74803149606299213" bottom="0.74803149606299213"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dimension ref="A1:T31"/>
  <sheetViews>
    <sheetView workbookViewId="0">
      <selection activeCell="G18" sqref="G18"/>
    </sheetView>
  </sheetViews>
  <sheetFormatPr defaultColWidth="9" defaultRowHeight="13.5"/>
  <cols>
    <col min="1" max="1" width="25.875" customWidth="1"/>
    <col min="2" max="2" width="17.125" customWidth="1"/>
    <col min="3" max="3" width="14.375" customWidth="1"/>
    <col min="4" max="4" width="10.125" customWidth="1"/>
    <col min="5" max="5" width="17.625" customWidth="1"/>
    <col min="6" max="6" width="22.625" customWidth="1"/>
    <col min="7" max="7" width="16.25" customWidth="1"/>
    <col min="8" max="8" width="17.375" customWidth="1"/>
    <col min="9" max="9" width="11.625" customWidth="1"/>
    <col min="10" max="10" width="12.125" customWidth="1"/>
    <col min="11" max="11" width="21.25" customWidth="1"/>
    <col min="12" max="12" width="13.875" customWidth="1"/>
    <col min="13" max="13" width="12" customWidth="1"/>
    <col min="14" max="14" width="11.25" customWidth="1"/>
    <col min="15" max="15" width="10.625" customWidth="1"/>
    <col min="16" max="16" width="22.125" customWidth="1"/>
    <col min="17" max="18" width="13.125" customWidth="1"/>
    <col min="19" max="19" width="14.625" customWidth="1"/>
    <col min="20" max="20" width="11.125" customWidth="1"/>
  </cols>
  <sheetData>
    <row r="1" spans="1:20" ht="25.5">
      <c r="A1" s="171" t="s">
        <v>298</v>
      </c>
      <c r="B1" s="171"/>
      <c r="C1" s="171"/>
      <c r="D1" s="171"/>
      <c r="E1" s="171"/>
      <c r="F1" s="171" t="s">
        <v>299</v>
      </c>
      <c r="G1" s="171"/>
      <c r="H1" s="171"/>
      <c r="I1" s="171"/>
      <c r="J1" s="171"/>
      <c r="K1" s="171" t="s">
        <v>300</v>
      </c>
      <c r="L1" s="171"/>
      <c r="M1" s="171"/>
      <c r="N1" s="171"/>
      <c r="O1" s="171"/>
      <c r="P1" s="171" t="s">
        <v>248</v>
      </c>
      <c r="Q1" s="171"/>
      <c r="R1" s="171"/>
      <c r="S1" s="171"/>
      <c r="T1" s="171"/>
    </row>
    <row r="2" spans="1:20" ht="15.75">
      <c r="A2" s="6" t="s">
        <v>190</v>
      </c>
      <c r="B2" s="7" t="s">
        <v>191</v>
      </c>
      <c r="C2" s="7" t="s">
        <v>192</v>
      </c>
      <c r="D2" s="7" t="s">
        <v>193</v>
      </c>
      <c r="E2" s="7" t="s">
        <v>194</v>
      </c>
      <c r="F2" s="6" t="s">
        <v>190</v>
      </c>
      <c r="G2" s="7" t="s">
        <v>191</v>
      </c>
      <c r="H2" s="7" t="s">
        <v>192</v>
      </c>
      <c r="I2" s="7" t="s">
        <v>193</v>
      </c>
      <c r="J2" s="7" t="s">
        <v>194</v>
      </c>
      <c r="K2" s="6" t="s">
        <v>190</v>
      </c>
      <c r="L2" s="7" t="s">
        <v>191</v>
      </c>
      <c r="M2" s="7" t="s">
        <v>192</v>
      </c>
      <c r="N2" s="7" t="s">
        <v>193</v>
      </c>
      <c r="O2" s="7" t="s">
        <v>194</v>
      </c>
      <c r="P2" s="6" t="s">
        <v>190</v>
      </c>
      <c r="Q2" s="7" t="s">
        <v>191</v>
      </c>
      <c r="R2" s="7" t="s">
        <v>192</v>
      </c>
      <c r="S2" s="7" t="s">
        <v>193</v>
      </c>
      <c r="T2" s="7" t="s">
        <v>194</v>
      </c>
    </row>
    <row r="3" spans="1:20" ht="21.75" customHeight="1">
      <c r="A3" s="8" t="s">
        <v>195</v>
      </c>
      <c r="B3" s="9">
        <f>B4</f>
        <v>370000000</v>
      </c>
      <c r="C3" s="10"/>
      <c r="D3" s="11">
        <v>0.05</v>
      </c>
      <c r="E3" s="9"/>
      <c r="F3" s="8" t="s">
        <v>195</v>
      </c>
      <c r="G3" s="9">
        <f>G4</f>
        <v>370000000</v>
      </c>
      <c r="H3" s="121"/>
      <c r="I3" s="11">
        <v>0.05</v>
      </c>
      <c r="J3" s="9"/>
      <c r="K3" s="8" t="s">
        <v>195</v>
      </c>
      <c r="L3" s="9">
        <f>L4+L9+L21+L28</f>
        <v>404245320.99498242</v>
      </c>
      <c r="M3" s="121"/>
      <c r="N3" s="11">
        <v>0.05</v>
      </c>
      <c r="O3" s="9">
        <f>O4+O9+O21+O28</f>
        <v>9741087.8317499999</v>
      </c>
      <c r="P3" s="8" t="s">
        <v>195</v>
      </c>
      <c r="Q3" s="9">
        <f>Q4+Q9+Q21+Q28</f>
        <v>2071650.52</v>
      </c>
      <c r="R3" s="121" t="s">
        <v>196</v>
      </c>
      <c r="S3" s="11">
        <v>0.05</v>
      </c>
      <c r="T3" s="9">
        <f>T4+T9+T21+T28</f>
        <v>0</v>
      </c>
    </row>
    <row r="4" spans="1:20" ht="21.75" customHeight="1">
      <c r="A4" s="12" t="s">
        <v>197</v>
      </c>
      <c r="B4" s="9">
        <f>SUM(B5:B8)</f>
        <v>370000000</v>
      </c>
      <c r="C4" s="9"/>
      <c r="D4" s="9"/>
      <c r="E4" s="13">
        <f>SUM(E5:E8)</f>
        <v>7030000</v>
      </c>
      <c r="F4" s="12" t="s">
        <v>197</v>
      </c>
      <c r="G4" s="9">
        <f>SUM(G5:G8)</f>
        <v>370000000</v>
      </c>
      <c r="H4" s="9"/>
      <c r="I4" s="9"/>
      <c r="J4" s="13">
        <f>SUM(J5:J8)</f>
        <v>7030000</v>
      </c>
      <c r="K4" s="12" t="s">
        <v>197</v>
      </c>
      <c r="L4" s="9">
        <f>SUM(L5:L8)</f>
        <v>370000000</v>
      </c>
      <c r="M4" s="9"/>
      <c r="N4" s="9"/>
      <c r="O4" s="13">
        <f>SUM(O5:O8)</f>
        <v>7030000</v>
      </c>
      <c r="P4" s="12" t="s">
        <v>197</v>
      </c>
      <c r="Q4" s="9">
        <f>SUM(Q5:Q8)</f>
        <v>0</v>
      </c>
      <c r="R4" s="9"/>
      <c r="S4" s="9"/>
      <c r="T4" s="13">
        <f>SUM(T5:T8)</f>
        <v>0</v>
      </c>
    </row>
    <row r="5" spans="1:20" ht="21.75" customHeight="1">
      <c r="A5" s="14" t="s">
        <v>198</v>
      </c>
      <c r="B5" s="9">
        <v>370000000</v>
      </c>
      <c r="C5" s="9">
        <v>50</v>
      </c>
      <c r="D5" s="11">
        <v>0.05</v>
      </c>
      <c r="E5" s="9">
        <v>7030000</v>
      </c>
      <c r="F5" s="14" t="s">
        <v>198</v>
      </c>
      <c r="G5" s="9">
        <v>370000000</v>
      </c>
      <c r="H5" s="9">
        <v>50</v>
      </c>
      <c r="I5" s="11">
        <v>0.05</v>
      </c>
      <c r="J5" s="9">
        <v>7030000</v>
      </c>
      <c r="K5" s="14" t="s">
        <v>198</v>
      </c>
      <c r="L5" s="9">
        <v>370000000</v>
      </c>
      <c r="M5" s="9">
        <v>50</v>
      </c>
      <c r="N5" s="11">
        <v>0.05</v>
      </c>
      <c r="O5" s="9">
        <v>7030000</v>
      </c>
      <c r="P5" s="14" t="s">
        <v>198</v>
      </c>
      <c r="Q5" s="9"/>
      <c r="R5" s="9"/>
      <c r="S5" s="9"/>
      <c r="T5" s="9"/>
    </row>
    <row r="6" spans="1:20" ht="21.75" customHeight="1">
      <c r="A6" s="172" t="s">
        <v>255</v>
      </c>
      <c r="B6" s="173"/>
      <c r="C6" s="173"/>
      <c r="D6" s="173"/>
      <c r="E6" s="174"/>
      <c r="F6" s="172" t="s">
        <v>286</v>
      </c>
      <c r="G6" s="173"/>
      <c r="H6" s="173"/>
      <c r="I6" s="173"/>
      <c r="J6" s="174"/>
      <c r="K6" s="172" t="s">
        <v>272</v>
      </c>
      <c r="L6" s="173"/>
      <c r="M6" s="173"/>
      <c r="N6" s="173"/>
      <c r="O6" s="174"/>
      <c r="P6" s="14" t="s">
        <v>199</v>
      </c>
      <c r="Q6" s="9"/>
      <c r="R6" s="9"/>
      <c r="S6" s="9"/>
      <c r="T6" s="9"/>
    </row>
    <row r="7" spans="1:20" ht="21.75" customHeight="1">
      <c r="A7" s="175"/>
      <c r="B7" s="176"/>
      <c r="C7" s="176"/>
      <c r="D7" s="176"/>
      <c r="E7" s="177"/>
      <c r="F7" s="175"/>
      <c r="G7" s="176"/>
      <c r="H7" s="176"/>
      <c r="I7" s="176"/>
      <c r="J7" s="177"/>
      <c r="K7" s="175"/>
      <c r="L7" s="176"/>
      <c r="M7" s="176"/>
      <c r="N7" s="176"/>
      <c r="O7" s="177"/>
      <c r="P7" s="14" t="s">
        <v>200</v>
      </c>
      <c r="Q7" s="9"/>
      <c r="R7" s="9"/>
      <c r="S7" s="9"/>
      <c r="T7" s="9"/>
    </row>
    <row r="8" spans="1:20" ht="21.75" customHeight="1">
      <c r="A8" s="178"/>
      <c r="B8" s="179"/>
      <c r="C8" s="179"/>
      <c r="D8" s="179"/>
      <c r="E8" s="180"/>
      <c r="F8" s="178"/>
      <c r="G8" s="179"/>
      <c r="H8" s="179"/>
      <c r="I8" s="179"/>
      <c r="J8" s="180"/>
      <c r="K8" s="178"/>
      <c r="L8" s="179"/>
      <c r="M8" s="179"/>
      <c r="N8" s="179"/>
      <c r="O8" s="180"/>
      <c r="P8" s="14" t="s">
        <v>201</v>
      </c>
      <c r="Q8" s="9"/>
      <c r="R8" s="9"/>
      <c r="S8" s="9"/>
      <c r="T8" s="9"/>
    </row>
    <row r="9" spans="1:20" ht="21.75" customHeight="1">
      <c r="A9" s="127" t="s">
        <v>256</v>
      </c>
      <c r="B9" s="9">
        <f>B10+B11</f>
        <v>3385642.97</v>
      </c>
      <c r="C9" s="10"/>
      <c r="D9" s="11">
        <v>0.05</v>
      </c>
      <c r="E9" s="9">
        <f>E12</f>
        <v>536060.13691666664</v>
      </c>
      <c r="F9" s="127" t="s">
        <v>256</v>
      </c>
      <c r="G9" s="9">
        <f>G10+G11</f>
        <v>13662523.610000001</v>
      </c>
      <c r="H9" s="121"/>
      <c r="I9" s="11">
        <v>0.05</v>
      </c>
      <c r="J9" s="9">
        <f>J12</f>
        <v>2163232.9049166669</v>
      </c>
      <c r="K9" s="127" t="s">
        <v>256</v>
      </c>
      <c r="L9" s="9">
        <f>SUM(L10:L20)</f>
        <v>34245320.994982429</v>
      </c>
      <c r="M9" s="121"/>
      <c r="N9" s="11">
        <v>0.05</v>
      </c>
      <c r="O9" s="9">
        <f>O12</f>
        <v>2711087.8317499994</v>
      </c>
      <c r="P9" s="15" t="s">
        <v>202</v>
      </c>
      <c r="Q9" s="9">
        <f>SUM(Q10:Q20)</f>
        <v>374325.45</v>
      </c>
      <c r="R9" s="121" t="s">
        <v>196</v>
      </c>
      <c r="S9" s="11">
        <v>0.05</v>
      </c>
      <c r="T9" s="9">
        <f>SUM(T10:T20)</f>
        <v>0</v>
      </c>
    </row>
    <row r="10" spans="1:20" ht="21.75" customHeight="1">
      <c r="A10" s="128" t="s">
        <v>257</v>
      </c>
      <c r="B10" s="9">
        <v>495213</v>
      </c>
      <c r="C10" s="9">
        <v>6</v>
      </c>
      <c r="D10" s="11">
        <v>0.05</v>
      </c>
      <c r="E10" s="9">
        <f>B10*0.95/C10</f>
        <v>78408.724999999991</v>
      </c>
      <c r="F10" s="128" t="s">
        <v>257</v>
      </c>
      <c r="G10" s="9">
        <v>1075329.6499999999</v>
      </c>
      <c r="H10" s="9">
        <v>6</v>
      </c>
      <c r="I10" s="11">
        <v>0.05</v>
      </c>
      <c r="J10" s="9">
        <f>G10*0.95/H10</f>
        <v>170260.52791666664</v>
      </c>
      <c r="K10" s="128" t="s">
        <v>257</v>
      </c>
      <c r="L10" s="9">
        <v>1585184.45</v>
      </c>
      <c r="M10" s="9">
        <v>6</v>
      </c>
      <c r="N10" s="11">
        <v>0.05</v>
      </c>
      <c r="O10" s="9">
        <f>L10*0.95/M10</f>
        <v>250987.53791666662</v>
      </c>
      <c r="P10" s="14" t="s">
        <v>203</v>
      </c>
      <c r="Q10" s="9">
        <f>28708+10640</f>
        <v>39348</v>
      </c>
      <c r="R10" s="9"/>
      <c r="S10" s="9"/>
      <c r="T10" s="9"/>
    </row>
    <row r="11" spans="1:20" ht="21.75" customHeight="1">
      <c r="A11" s="128" t="s">
        <v>258</v>
      </c>
      <c r="B11" s="9">
        <v>2890429.97</v>
      </c>
      <c r="C11" s="9">
        <v>6</v>
      </c>
      <c r="D11" s="11">
        <v>0.05</v>
      </c>
      <c r="E11" s="9">
        <f>B11*0.95/C11</f>
        <v>457651.41191666666</v>
      </c>
      <c r="F11" s="128" t="s">
        <v>258</v>
      </c>
      <c r="G11" s="9">
        <v>12587193.960000001</v>
      </c>
      <c r="H11" s="9">
        <v>6</v>
      </c>
      <c r="I11" s="11">
        <v>0.05</v>
      </c>
      <c r="J11" s="9">
        <f>G11*0.95/H11</f>
        <v>1992972.3770000001</v>
      </c>
      <c r="K11" s="128" t="s">
        <v>258</v>
      </c>
      <c r="L11" s="9">
        <v>15537475.539999999</v>
      </c>
      <c r="M11" s="9">
        <v>6</v>
      </c>
      <c r="N11" s="11">
        <v>0.05</v>
      </c>
      <c r="O11" s="9">
        <f>L11*0.95/M11</f>
        <v>2460100.2938333331</v>
      </c>
      <c r="P11" s="14" t="s">
        <v>204</v>
      </c>
      <c r="Q11" s="9">
        <f>293594.45+19900-10640</f>
        <v>302854.45</v>
      </c>
      <c r="R11" s="9"/>
      <c r="S11" s="9"/>
      <c r="T11" s="9"/>
    </row>
    <row r="12" spans="1:20" ht="21.75" customHeight="1">
      <c r="A12" s="128" t="s">
        <v>259</v>
      </c>
      <c r="B12" s="9">
        <f>B10+B11</f>
        <v>3385642.97</v>
      </c>
      <c r="C12" s="9">
        <v>6</v>
      </c>
      <c r="D12" s="11">
        <v>0.05</v>
      </c>
      <c r="E12" s="9">
        <f>B12*0.95/C12</f>
        <v>536060.13691666664</v>
      </c>
      <c r="F12" s="128" t="s">
        <v>259</v>
      </c>
      <c r="G12" s="9">
        <f>G10+G11</f>
        <v>13662523.610000001</v>
      </c>
      <c r="H12" s="9">
        <v>6</v>
      </c>
      <c r="I12" s="11">
        <v>0.05</v>
      </c>
      <c r="J12" s="9">
        <f>G12*0.95/H12</f>
        <v>2163232.9049166669</v>
      </c>
      <c r="K12" s="128" t="s">
        <v>259</v>
      </c>
      <c r="L12" s="9">
        <f>L10+L11</f>
        <v>17122659.989999998</v>
      </c>
      <c r="M12" s="9">
        <v>6</v>
      </c>
      <c r="N12" s="11">
        <v>0.05</v>
      </c>
      <c r="O12" s="9">
        <f>L12*0.95/M12</f>
        <v>2711087.8317499994</v>
      </c>
      <c r="P12" s="14" t="s">
        <v>205</v>
      </c>
      <c r="Q12" s="9"/>
      <c r="R12" s="9"/>
      <c r="S12" s="9"/>
      <c r="T12" s="9"/>
    </row>
    <row r="13" spans="1:20" ht="21.75" customHeight="1">
      <c r="A13" s="181" t="s">
        <v>287</v>
      </c>
      <c r="B13" s="173"/>
      <c r="C13" s="173"/>
      <c r="D13" s="173"/>
      <c r="E13" s="174"/>
      <c r="F13" s="181" t="s">
        <v>288</v>
      </c>
      <c r="G13" s="173"/>
      <c r="H13" s="173"/>
      <c r="I13" s="173"/>
      <c r="J13" s="174"/>
      <c r="K13" s="182" t="s">
        <v>289</v>
      </c>
      <c r="L13" s="183"/>
      <c r="M13" s="183"/>
      <c r="N13" s="183"/>
      <c r="O13" s="184"/>
      <c r="P13" s="14" t="s">
        <v>206</v>
      </c>
      <c r="Q13" s="9"/>
      <c r="R13" s="9"/>
      <c r="S13" s="9"/>
      <c r="T13" s="9"/>
    </row>
    <row r="14" spans="1:20" ht="21.75" customHeight="1">
      <c r="A14" s="175"/>
      <c r="B14" s="176"/>
      <c r="C14" s="176"/>
      <c r="D14" s="176"/>
      <c r="E14" s="177"/>
      <c r="F14" s="175"/>
      <c r="G14" s="176"/>
      <c r="H14" s="176"/>
      <c r="I14" s="176"/>
      <c r="J14" s="177"/>
      <c r="K14" s="185"/>
      <c r="L14" s="186"/>
      <c r="M14" s="186"/>
      <c r="N14" s="186"/>
      <c r="O14" s="187"/>
      <c r="P14" s="14" t="s">
        <v>207</v>
      </c>
      <c r="Q14" s="9"/>
      <c r="R14" s="9"/>
      <c r="S14" s="9"/>
      <c r="T14" s="9"/>
    </row>
    <row r="15" spans="1:20" ht="21.75" customHeight="1">
      <c r="A15" s="178"/>
      <c r="B15" s="179"/>
      <c r="C15" s="179"/>
      <c r="D15" s="179"/>
      <c r="E15" s="180"/>
      <c r="F15" s="178"/>
      <c r="G15" s="179"/>
      <c r="H15" s="179"/>
      <c r="I15" s="179"/>
      <c r="J15" s="180"/>
      <c r="K15" s="188"/>
      <c r="L15" s="189"/>
      <c r="M15" s="189"/>
      <c r="N15" s="189"/>
      <c r="O15" s="190"/>
      <c r="P15" s="14" t="s">
        <v>208</v>
      </c>
      <c r="Q15" s="9"/>
      <c r="R15" s="9"/>
      <c r="S15" s="9"/>
      <c r="T15" s="9"/>
    </row>
    <row r="16" spans="1:20" ht="33.75" customHeight="1">
      <c r="A16" s="128" t="s">
        <v>263</v>
      </c>
      <c r="B16" s="9"/>
      <c r="C16" s="130" t="s">
        <v>271</v>
      </c>
      <c r="D16" s="9"/>
      <c r="E16" s="9"/>
      <c r="F16" s="128" t="s">
        <v>263</v>
      </c>
      <c r="G16" s="9"/>
      <c r="H16" s="130" t="s">
        <v>271</v>
      </c>
      <c r="I16" s="9"/>
      <c r="J16" s="9"/>
      <c r="K16" s="128" t="s">
        <v>263</v>
      </c>
      <c r="L16" s="9"/>
      <c r="M16" s="130" t="s">
        <v>271</v>
      </c>
      <c r="N16" s="9"/>
      <c r="O16" s="9"/>
      <c r="P16" s="14" t="s">
        <v>209</v>
      </c>
      <c r="Q16" s="9"/>
      <c r="R16" s="9"/>
      <c r="S16" s="9"/>
      <c r="T16" s="9"/>
    </row>
    <row r="17" spans="1:20" ht="29.25" customHeight="1">
      <c r="A17" s="128" t="s">
        <v>260</v>
      </c>
      <c r="B17" s="9" t="s">
        <v>283</v>
      </c>
      <c r="C17" s="9">
        <f>237848.33+E9</f>
        <v>773908.4669166666</v>
      </c>
      <c r="D17" s="9"/>
      <c r="E17" s="9"/>
      <c r="F17" s="128" t="s">
        <v>260</v>
      </c>
      <c r="G17" s="9" t="s">
        <v>302</v>
      </c>
      <c r="H17" s="9">
        <f>1129486.67+2163232.91</f>
        <v>3292719.58</v>
      </c>
      <c r="I17" s="9"/>
      <c r="J17" s="9"/>
      <c r="K17" s="128" t="s">
        <v>260</v>
      </c>
      <c r="L17" s="9" t="s">
        <v>301</v>
      </c>
      <c r="M17" s="9">
        <f>1762186.68+2711087.83</f>
        <v>4473274.51</v>
      </c>
      <c r="N17" s="9"/>
      <c r="O17" s="9"/>
      <c r="P17" s="14" t="s">
        <v>210</v>
      </c>
      <c r="Q17" s="9">
        <v>20328</v>
      </c>
      <c r="R17" s="9"/>
      <c r="S17" s="9"/>
      <c r="T17" s="9"/>
    </row>
    <row r="18" spans="1:20" ht="21.75" customHeight="1">
      <c r="A18" s="128" t="s">
        <v>261</v>
      </c>
      <c r="B18" s="138">
        <v>0.45800000000000002</v>
      </c>
      <c r="C18" s="137">
        <f>C17*0.458</f>
        <v>354450.07784783334</v>
      </c>
      <c r="D18" s="9"/>
      <c r="E18" s="9"/>
      <c r="F18" s="128" t="s">
        <v>261</v>
      </c>
      <c r="G18" s="138">
        <v>0.56899999999999995</v>
      </c>
      <c r="H18" s="137">
        <f>H17*G18</f>
        <v>1873557.4410199998</v>
      </c>
      <c r="I18" s="9"/>
      <c r="J18" s="9"/>
      <c r="K18" s="128" t="s">
        <v>261</v>
      </c>
      <c r="L18" s="138">
        <v>0.43</v>
      </c>
      <c r="M18" s="137">
        <f>M17*收入情况表!D22</f>
        <v>1935668.8041948616</v>
      </c>
      <c r="N18" s="9"/>
      <c r="O18" s="9"/>
      <c r="P18" s="14" t="s">
        <v>211</v>
      </c>
      <c r="Q18" s="9"/>
      <c r="R18" s="9"/>
      <c r="S18" s="9"/>
      <c r="T18" s="9"/>
    </row>
    <row r="19" spans="1:20" ht="21.75" customHeight="1">
      <c r="A19" s="128" t="s">
        <v>262</v>
      </c>
      <c r="B19" s="138">
        <v>0.2</v>
      </c>
      <c r="C19" s="9">
        <f>C17*0.2</f>
        <v>154781.69338333333</v>
      </c>
      <c r="D19" s="9"/>
      <c r="E19" s="9"/>
      <c r="F19" s="128" t="s">
        <v>262</v>
      </c>
      <c r="G19" s="138">
        <v>0.26800000000000002</v>
      </c>
      <c r="H19" s="9">
        <f>H17*G19</f>
        <v>882448.84744000004</v>
      </c>
      <c r="I19" s="9"/>
      <c r="J19" s="9"/>
      <c r="K19" s="128" t="s">
        <v>262</v>
      </c>
      <c r="L19" s="138">
        <f>收入情况表!D23</f>
        <v>0.214982431968719</v>
      </c>
      <c r="M19" s="9">
        <f>M17*0.2</f>
        <v>894654.902</v>
      </c>
      <c r="N19" s="9"/>
      <c r="O19" s="9"/>
      <c r="P19" s="14" t="s">
        <v>212</v>
      </c>
      <c r="Q19" s="9">
        <v>11795</v>
      </c>
      <c r="R19" s="9"/>
      <c r="S19" s="9"/>
      <c r="T19" s="9"/>
    </row>
    <row r="20" spans="1:20" ht="21.75" customHeight="1">
      <c r="A20" s="129" t="s">
        <v>264</v>
      </c>
      <c r="B20" s="138">
        <v>0.34200000000000003</v>
      </c>
      <c r="C20" s="9">
        <f>C17*0.342</f>
        <v>264676.69568549999</v>
      </c>
      <c r="D20" s="9"/>
      <c r="E20" s="9"/>
      <c r="F20" s="129" t="s">
        <v>264</v>
      </c>
      <c r="G20" s="138">
        <v>0.16300000000000001</v>
      </c>
      <c r="H20" s="9">
        <f>H17*G20</f>
        <v>536713.29154000001</v>
      </c>
      <c r="I20" s="9"/>
      <c r="J20" s="9"/>
      <c r="K20" s="129" t="s">
        <v>264</v>
      </c>
      <c r="L20" s="138">
        <f>收入情况表!D24</f>
        <v>0.37</v>
      </c>
      <c r="M20" s="9">
        <f>M17*0.342</f>
        <v>1529859.8824200002</v>
      </c>
      <c r="N20" s="9"/>
      <c r="O20" s="9"/>
      <c r="P20" s="16" t="s">
        <v>213</v>
      </c>
      <c r="Q20" s="9"/>
      <c r="R20" s="9"/>
      <c r="S20" s="9"/>
      <c r="T20" s="9"/>
    </row>
    <row r="21" spans="1:20" ht="21.75" customHeight="1">
      <c r="A21" s="15"/>
      <c r="B21" s="9"/>
      <c r="C21" s="121"/>
      <c r="D21" s="11"/>
      <c r="E21" s="9"/>
      <c r="F21" s="15"/>
      <c r="G21" s="9"/>
      <c r="H21" s="121"/>
      <c r="I21" s="11"/>
      <c r="J21" s="9"/>
      <c r="K21" s="15"/>
      <c r="L21" s="9"/>
      <c r="M21" s="121"/>
      <c r="N21" s="11"/>
      <c r="O21" s="9"/>
      <c r="P21" s="15" t="s">
        <v>214</v>
      </c>
      <c r="Q21" s="9">
        <f>SUM(Q22:Q27)</f>
        <v>986285</v>
      </c>
      <c r="R21" s="121" t="s">
        <v>215</v>
      </c>
      <c r="S21" s="11">
        <v>0.05</v>
      </c>
      <c r="T21" s="9">
        <f>SUM(T22:T27)</f>
        <v>0</v>
      </c>
    </row>
    <row r="22" spans="1:20" ht="21.75" customHeight="1">
      <c r="A22" s="14"/>
      <c r="B22" s="9"/>
      <c r="C22" s="9"/>
      <c r="D22" s="9"/>
      <c r="E22" s="9"/>
      <c r="F22" s="14"/>
      <c r="G22" s="9"/>
      <c r="H22" s="9"/>
      <c r="I22" s="9"/>
      <c r="J22" s="9"/>
      <c r="K22" s="14"/>
      <c r="L22" s="9"/>
      <c r="M22" s="9"/>
      <c r="N22" s="9"/>
      <c r="O22" s="9"/>
      <c r="P22" s="14" t="s">
        <v>216</v>
      </c>
      <c r="Q22" s="9">
        <v>604565.29</v>
      </c>
      <c r="R22" s="9"/>
      <c r="S22" s="9"/>
      <c r="T22" s="9"/>
    </row>
    <row r="23" spans="1:20" ht="21.75" customHeight="1">
      <c r="A23" s="14"/>
      <c r="B23" s="9"/>
      <c r="C23" s="9"/>
      <c r="D23" s="9"/>
      <c r="E23" s="9"/>
      <c r="F23" s="14"/>
      <c r="G23" s="9"/>
      <c r="H23" s="9"/>
      <c r="I23" s="9"/>
      <c r="J23" s="9"/>
      <c r="K23" s="14"/>
      <c r="L23" s="9"/>
      <c r="M23" s="9"/>
      <c r="N23" s="9"/>
      <c r="O23" s="9"/>
      <c r="P23" s="14" t="s">
        <v>217</v>
      </c>
      <c r="Q23" s="9">
        <v>20960</v>
      </c>
      <c r="R23" s="9"/>
      <c r="S23" s="9"/>
      <c r="T23" s="9"/>
    </row>
    <row r="24" spans="1:20" ht="21.75" customHeight="1">
      <c r="A24" s="14"/>
      <c r="B24" s="9"/>
      <c r="C24" s="9"/>
      <c r="D24" s="9"/>
      <c r="E24" s="9"/>
      <c r="F24" s="14"/>
      <c r="G24" s="9"/>
      <c r="H24" s="9"/>
      <c r="I24" s="9"/>
      <c r="J24" s="9"/>
      <c r="K24" s="14"/>
      <c r="L24" s="9"/>
      <c r="M24" s="9"/>
      <c r="N24" s="9"/>
      <c r="O24" s="9"/>
      <c r="P24" s="14" t="s">
        <v>218</v>
      </c>
      <c r="Q24" s="9">
        <v>186659.71</v>
      </c>
      <c r="R24" s="9"/>
      <c r="S24" s="9"/>
      <c r="T24" s="9"/>
    </row>
    <row r="25" spans="1:20" ht="21.75" customHeight="1">
      <c r="A25" s="14"/>
      <c r="B25" s="9"/>
      <c r="C25" s="9"/>
      <c r="D25" s="9"/>
      <c r="E25" s="9"/>
      <c r="F25" s="14"/>
      <c r="G25" s="9"/>
      <c r="H25" s="9"/>
      <c r="I25" s="9"/>
      <c r="J25" s="9"/>
      <c r="K25" s="14"/>
      <c r="L25" s="9"/>
      <c r="M25" s="9"/>
      <c r="N25" s="9"/>
      <c r="O25" s="9"/>
      <c r="P25" s="14" t="s">
        <v>219</v>
      </c>
      <c r="Q25" s="9"/>
      <c r="R25" s="9"/>
      <c r="S25" s="9"/>
      <c r="T25" s="9"/>
    </row>
    <row r="26" spans="1:20" ht="21.75" customHeight="1">
      <c r="A26" s="14"/>
      <c r="B26" s="9"/>
      <c r="C26" s="9"/>
      <c r="D26" s="9"/>
      <c r="E26" s="9"/>
      <c r="F26" s="14"/>
      <c r="G26" s="9"/>
      <c r="H26" s="9"/>
      <c r="I26" s="9"/>
      <c r="J26" s="9"/>
      <c r="K26" s="14"/>
      <c r="L26" s="9"/>
      <c r="M26" s="9"/>
      <c r="N26" s="9"/>
      <c r="O26" s="9"/>
      <c r="P26" s="14" t="s">
        <v>220</v>
      </c>
      <c r="Q26" s="9">
        <v>4600</v>
      </c>
      <c r="R26" s="9"/>
      <c r="S26" s="9"/>
      <c r="T26" s="9"/>
    </row>
    <row r="27" spans="1:20" ht="21.75" customHeight="1">
      <c r="A27" s="14"/>
      <c r="B27" s="9"/>
      <c r="C27" s="9"/>
      <c r="D27" s="9"/>
      <c r="E27" s="9"/>
      <c r="F27" s="14"/>
      <c r="G27" s="9"/>
      <c r="H27" s="9"/>
      <c r="I27" s="9"/>
      <c r="J27" s="9"/>
      <c r="K27" s="14"/>
      <c r="L27" s="9"/>
      <c r="M27" s="9"/>
      <c r="N27" s="9"/>
      <c r="O27" s="9"/>
      <c r="P27" s="14" t="s">
        <v>221</v>
      </c>
      <c r="Q27" s="9">
        <v>169500</v>
      </c>
      <c r="R27" s="9"/>
      <c r="S27" s="9"/>
      <c r="T27" s="9"/>
    </row>
    <row r="28" spans="1:20" ht="21.75" customHeight="1">
      <c r="A28" s="15"/>
      <c r="B28" s="9"/>
      <c r="C28" s="121"/>
      <c r="D28" s="11"/>
      <c r="E28" s="9"/>
      <c r="F28" s="15"/>
      <c r="G28" s="9"/>
      <c r="H28" s="121"/>
      <c r="I28" s="11"/>
      <c r="J28" s="9"/>
      <c r="K28" s="15"/>
      <c r="L28" s="9"/>
      <c r="M28" s="121"/>
      <c r="N28" s="11"/>
      <c r="O28" s="9"/>
      <c r="P28" s="15" t="s">
        <v>222</v>
      </c>
      <c r="Q28" s="9">
        <f>Q29+Q31</f>
        <v>711040.07000000007</v>
      </c>
      <c r="R28" s="121" t="s">
        <v>196</v>
      </c>
      <c r="S28" s="11">
        <v>0.05</v>
      </c>
      <c r="T28" s="9">
        <f>T29+T31</f>
        <v>0</v>
      </c>
    </row>
    <row r="29" spans="1:20" ht="21.75" customHeight="1">
      <c r="A29" s="14"/>
      <c r="B29" s="9"/>
      <c r="C29" s="9"/>
      <c r="D29" s="9"/>
      <c r="E29" s="9"/>
      <c r="F29" s="14"/>
      <c r="G29" s="9"/>
      <c r="H29" s="9"/>
      <c r="I29" s="9"/>
      <c r="J29" s="9"/>
      <c r="K29" s="14"/>
      <c r="L29" s="9"/>
      <c r="M29" s="9"/>
      <c r="N29" s="9"/>
      <c r="O29" s="9"/>
      <c r="P29" s="14" t="s">
        <v>223</v>
      </c>
      <c r="Q29" s="9">
        <f>183406+50928+310273.3</f>
        <v>544607.30000000005</v>
      </c>
      <c r="R29" s="9"/>
      <c r="S29" s="9"/>
      <c r="T29" s="9"/>
    </row>
    <row r="30" spans="1:20" ht="21.75" customHeight="1">
      <c r="A30" s="17"/>
      <c r="B30" s="9"/>
      <c r="C30" s="9"/>
      <c r="D30" s="9"/>
      <c r="E30" s="9"/>
      <c r="F30" s="17"/>
      <c r="G30" s="9"/>
      <c r="H30" s="9"/>
      <c r="I30" s="9"/>
      <c r="J30" s="9"/>
      <c r="K30" s="17"/>
      <c r="L30" s="9"/>
      <c r="M30" s="9"/>
      <c r="N30" s="9"/>
      <c r="O30" s="9"/>
      <c r="P30" s="17" t="s">
        <v>224</v>
      </c>
      <c r="Q30" s="9">
        <v>50928</v>
      </c>
      <c r="R30" s="9"/>
      <c r="S30" s="9"/>
      <c r="T30" s="9"/>
    </row>
    <row r="31" spans="1:20" ht="21.75" customHeight="1">
      <c r="A31" s="14"/>
      <c r="B31" s="9"/>
      <c r="C31" s="9"/>
      <c r="D31" s="9"/>
      <c r="E31" s="9"/>
      <c r="F31" s="14"/>
      <c r="G31" s="9"/>
      <c r="H31" s="9"/>
      <c r="I31" s="9"/>
      <c r="J31" s="9"/>
      <c r="K31" s="14"/>
      <c r="L31" s="9"/>
      <c r="M31" s="9"/>
      <c r="N31" s="9"/>
      <c r="O31" s="9"/>
      <c r="P31" s="14" t="s">
        <v>225</v>
      </c>
      <c r="Q31" s="9">
        <f>10140+156292.77</f>
        <v>166432.76999999999</v>
      </c>
      <c r="R31" s="9"/>
      <c r="S31" s="9"/>
      <c r="T31" s="9"/>
    </row>
  </sheetData>
  <mergeCells count="10">
    <mergeCell ref="P1:T1"/>
    <mergeCell ref="F6:J8"/>
    <mergeCell ref="F13:J15"/>
    <mergeCell ref="K6:O8"/>
    <mergeCell ref="K13:O15"/>
    <mergeCell ref="A1:E1"/>
    <mergeCell ref="F1:J1"/>
    <mergeCell ref="K1:O1"/>
    <mergeCell ref="A6:E8"/>
    <mergeCell ref="A13:E15"/>
  </mergeCells>
  <phoneticPr fontId="38"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vt:i4>
      </vt:variant>
    </vt:vector>
  </HeadingPairs>
  <TitlesOfParts>
    <vt:vector size="11" baseType="lpstr">
      <vt:lpstr>封面</vt:lpstr>
      <vt:lpstr>基本情况表</vt:lpstr>
      <vt:lpstr>收入情况表</vt:lpstr>
      <vt:lpstr>教育成本归集表</vt:lpstr>
      <vt:lpstr>教育培养成本核定表</vt:lpstr>
      <vt:lpstr>学生人数核定表</vt:lpstr>
      <vt:lpstr>教职工人数核定表</vt:lpstr>
      <vt:lpstr>薪酬核定表</vt:lpstr>
      <vt:lpstr>固定资产折旧计算表</vt:lpstr>
      <vt:lpstr>承若书</vt:lpstr>
      <vt:lpstr>教育成本归集表!Print_Titles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2022-08-18T06:53:26Z</cp:lastPrinted>
  <dcterms:created xsi:type="dcterms:W3CDTF">2022-07-04T01:13:00Z</dcterms:created>
  <dcterms:modified xsi:type="dcterms:W3CDTF">2022-08-18T07:41:27Z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2CA97007C25747A790A7A9DC60D66987</vt:lpwstr>
  </property>
  <property fmtid="{D5CDD505-2E9C-101B-9397-08002B2CF9AE}" pid="3" name="KSOProductBuildVer">
    <vt:lpwstr>2052-11.1.0.11875</vt:lpwstr>
  </property>
</Properties>
</file>