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628" windowHeight="7896" firstSheet="2" activeTab="8"/>
  </bookViews>
  <sheets>
    <sheet name="封面" sheetId="1" r:id="rId1"/>
    <sheet name="基本情况表" sheetId="2" r:id="rId2"/>
    <sheet name="收入情况表" sheetId="3" r:id="rId3"/>
    <sheet name="教育成本归集表" sheetId="4" r:id="rId4"/>
    <sheet name="教育培养成本核定表" sheetId="5" r:id="rId5"/>
    <sheet name="学生人数核定表" sheetId="6" r:id="rId6"/>
    <sheet name="教职工人数核定表" sheetId="7" r:id="rId7"/>
    <sheet name="薪酬核定表" sheetId="8" r:id="rId8"/>
    <sheet name="固定资产折旧计算表" sheetId="9" r:id="rId9"/>
    <sheet name="承若书" sheetId="10" r:id="rId10"/>
  </sheets>
  <externalReferences>
    <externalReference r:id="rId11"/>
  </externalReferences>
  <definedNames>
    <definedName name="_xlnm.Print_Titles" localSheetId="3">教育成本归集表!$1:$4</definedName>
  </definedNames>
  <calcPr calcId="124519"/>
</workbook>
</file>

<file path=xl/calcChain.xml><?xml version="1.0" encoding="utf-8"?>
<calcChain xmlns="http://schemas.openxmlformats.org/spreadsheetml/2006/main">
  <c r="W18" i="6"/>
  <c r="T16"/>
  <c r="V13"/>
  <c r="U13"/>
  <c r="W13" s="1"/>
  <c r="E7" i="7" s="1"/>
  <c r="V6" i="6"/>
  <c r="W6" s="1"/>
  <c r="U6"/>
  <c r="F21"/>
  <c r="V12"/>
  <c r="U12"/>
  <c r="V5"/>
  <c r="U5"/>
  <c r="W11"/>
  <c r="V11"/>
  <c r="U11"/>
  <c r="W12"/>
  <c r="E41" i="7"/>
  <c r="W5" i="6"/>
  <c r="E23" i="7" s="1"/>
  <c r="W4" i="6"/>
  <c r="W16" s="1"/>
  <c r="V4"/>
  <c r="U4"/>
  <c r="F9"/>
  <c r="F6"/>
  <c r="F22"/>
  <c r="F19"/>
  <c r="F20" s="1"/>
  <c r="F18"/>
  <c r="F17"/>
  <c r="F15"/>
  <c r="F16" s="1"/>
  <c r="F14"/>
  <c r="F12"/>
  <c r="F11"/>
  <c r="F13" s="1"/>
  <c r="F10"/>
  <c r="F8"/>
  <c r="F7"/>
  <c r="F5"/>
  <c r="F4"/>
  <c r="E40" i="7"/>
  <c r="D23" i="5"/>
  <c r="B46" i="4"/>
  <c r="B45"/>
  <c r="C44"/>
  <c r="B44"/>
  <c r="E44" s="1"/>
  <c r="E9" i="8"/>
  <c r="E31"/>
  <c r="E20"/>
  <c r="D7" i="4"/>
  <c r="I54"/>
  <c r="I53"/>
  <c r="I52"/>
  <c r="I51"/>
  <c r="I50"/>
  <c r="I49"/>
  <c r="I48"/>
  <c r="I47"/>
  <c r="I46"/>
  <c r="I45"/>
  <c r="I43"/>
  <c r="I42"/>
  <c r="I41"/>
  <c r="I40"/>
  <c r="I39"/>
  <c r="I38"/>
  <c r="I37"/>
  <c r="I36"/>
  <c r="I35"/>
  <c r="I34"/>
  <c r="I33"/>
  <c r="I32"/>
  <c r="I31"/>
  <c r="I30"/>
  <c r="I29"/>
  <c r="I28"/>
  <c r="I27"/>
  <c r="I26"/>
  <c r="I25"/>
  <c r="I24"/>
  <c r="I23"/>
  <c r="I22"/>
  <c r="I21"/>
  <c r="I20"/>
  <c r="I19"/>
  <c r="I18"/>
  <c r="I17"/>
  <c r="I16"/>
  <c r="I15"/>
  <c r="I14"/>
  <c r="I13"/>
  <c r="I12"/>
  <c r="I11"/>
  <c r="I10"/>
  <c r="I9"/>
  <c r="I8"/>
  <c r="I7"/>
  <c r="I6"/>
  <c r="I5"/>
  <c r="F54"/>
  <c r="F53"/>
  <c r="F52"/>
  <c r="F51"/>
  <c r="F50"/>
  <c r="F49"/>
  <c r="F48"/>
  <c r="F47"/>
  <c r="F46"/>
  <c r="F45"/>
  <c r="F43"/>
  <c r="F42"/>
  <c r="F41"/>
  <c r="F40"/>
  <c r="F39"/>
  <c r="F38"/>
  <c r="F37"/>
  <c r="F36"/>
  <c r="F35"/>
  <c r="F34"/>
  <c r="F33"/>
  <c r="F32"/>
  <c r="F31"/>
  <c r="F30"/>
  <c r="F29"/>
  <c r="F28"/>
  <c r="F27"/>
  <c r="F26"/>
  <c r="F25"/>
  <c r="F24"/>
  <c r="F23"/>
  <c r="F22"/>
  <c r="F21"/>
  <c r="F20"/>
  <c r="F19"/>
  <c r="F18"/>
  <c r="F17"/>
  <c r="F16"/>
  <c r="F15"/>
  <c r="F14"/>
  <c r="F13"/>
  <c r="F12"/>
  <c r="F11"/>
  <c r="F10"/>
  <c r="F9"/>
  <c r="F8"/>
  <c r="F7"/>
  <c r="F6"/>
  <c r="F5"/>
  <c r="C54"/>
  <c r="C53"/>
  <c r="C52"/>
  <c r="C51"/>
  <c r="C50"/>
  <c r="C49"/>
  <c r="C46"/>
  <c r="C43"/>
  <c r="C42"/>
  <c r="C41"/>
  <c r="C40"/>
  <c r="C39"/>
  <c r="C38"/>
  <c r="C37"/>
  <c r="C36"/>
  <c r="C35"/>
  <c r="C34"/>
  <c r="C33"/>
  <c r="C32"/>
  <c r="C31"/>
  <c r="C30"/>
  <c r="C29"/>
  <c r="C28"/>
  <c r="C27"/>
  <c r="C26"/>
  <c r="C25"/>
  <c r="C24"/>
  <c r="C23"/>
  <c r="C22"/>
  <c r="C21"/>
  <c r="C20"/>
  <c r="C19"/>
  <c r="C18"/>
  <c r="C17"/>
  <c r="C16"/>
  <c r="C15"/>
  <c r="C14"/>
  <c r="C13"/>
  <c r="C12"/>
  <c r="C11"/>
  <c r="C10"/>
  <c r="C9"/>
  <c r="C8"/>
  <c r="C7"/>
  <c r="C6"/>
  <c r="C5"/>
  <c r="C26" i="8"/>
  <c r="C15"/>
  <c r="C4"/>
  <c r="E28"/>
  <c r="J5" i="4"/>
  <c r="D15" i="5" s="1"/>
  <c r="J7" i="4"/>
  <c r="D5"/>
  <c r="D19" i="5"/>
  <c r="J50" i="4"/>
  <c r="C15" i="5"/>
  <c r="B15"/>
  <c r="J10" i="4"/>
  <c r="H10"/>
  <c r="B31" i="8" s="1"/>
  <c r="G10" i="4"/>
  <c r="G5" s="1"/>
  <c r="G55" s="1"/>
  <c r="E10"/>
  <c r="E26" i="8"/>
  <c r="G36" i="4"/>
  <c r="F4" i="7"/>
  <c r="C22" i="5"/>
  <c r="C23" s="1"/>
  <c r="C24" s="1"/>
  <c r="C30" i="3" s="1"/>
  <c r="C31" s="1"/>
  <c r="J36" i="4"/>
  <c r="G37"/>
  <c r="J37"/>
  <c r="J44"/>
  <c r="J23"/>
  <c r="J12" s="1"/>
  <c r="D44"/>
  <c r="G27"/>
  <c r="G31"/>
  <c r="G51"/>
  <c r="G52"/>
  <c r="G13"/>
  <c r="G23"/>
  <c r="G14"/>
  <c r="C32" i="8"/>
  <c r="E16"/>
  <c r="E15"/>
  <c r="C22" s="1"/>
  <c r="E5"/>
  <c r="E4"/>
  <c r="C14" i="5"/>
  <c r="B14"/>
  <c r="B22" s="1"/>
  <c r="B23" s="1"/>
  <c r="B24" s="1"/>
  <c r="F31" i="8"/>
  <c r="D12" i="4"/>
  <c r="B12"/>
  <c r="D37"/>
  <c r="D51"/>
  <c r="D52"/>
  <c r="D23"/>
  <c r="D18"/>
  <c r="D14"/>
  <c r="D13"/>
  <c r="F11" i="8"/>
  <c r="E11" s="1"/>
  <c r="C11"/>
  <c r="F9"/>
  <c r="E6"/>
  <c r="D46" i="7"/>
  <c r="D45"/>
  <c r="D44"/>
  <c r="D41"/>
  <c r="D40"/>
  <c r="D29"/>
  <c r="D28"/>
  <c r="D27"/>
  <c r="D24"/>
  <c r="D23"/>
  <c r="D22" s="1"/>
  <c r="D12"/>
  <c r="D11"/>
  <c r="D10"/>
  <c r="D7"/>
  <c r="D6"/>
  <c r="B48" i="4"/>
  <c r="C48" s="1"/>
  <c r="B47"/>
  <c r="C47" s="1"/>
  <c r="B34" i="8"/>
  <c r="B28"/>
  <c r="B26"/>
  <c r="B33" s="1"/>
  <c r="B23"/>
  <c r="B20"/>
  <c r="B17"/>
  <c r="B15"/>
  <c r="B22" s="1"/>
  <c r="B9"/>
  <c r="B6"/>
  <c r="B5"/>
  <c r="B11" s="1"/>
  <c r="B4"/>
  <c r="B10" s="1"/>
  <c r="B38" i="7"/>
  <c r="B4"/>
  <c r="E24" i="6"/>
  <c r="E23"/>
  <c r="E22"/>
  <c r="E21"/>
  <c r="E20"/>
  <c r="E19"/>
  <c r="E18"/>
  <c r="E17"/>
  <c r="E16"/>
  <c r="E13"/>
  <c r="E12"/>
  <c r="E10"/>
  <c r="E9"/>
  <c r="E6"/>
  <c r="E5"/>
  <c r="E4"/>
  <c r="H57" i="4"/>
  <c r="E57"/>
  <c r="B57"/>
  <c r="B52"/>
  <c r="H51"/>
  <c r="E51"/>
  <c r="B51"/>
  <c r="B50"/>
  <c r="C45"/>
  <c r="H37"/>
  <c r="E37"/>
  <c r="B37"/>
  <c r="E36"/>
  <c r="B36"/>
  <c r="B33"/>
  <c r="H31"/>
  <c r="E31"/>
  <c r="B31"/>
  <c r="H23"/>
  <c r="E23"/>
  <c r="B23"/>
  <c r="B21"/>
  <c r="B14"/>
  <c r="B13"/>
  <c r="H12"/>
  <c r="E12"/>
  <c r="B11"/>
  <c r="H8"/>
  <c r="E8"/>
  <c r="B8"/>
  <c r="H7"/>
  <c r="E7"/>
  <c r="B7"/>
  <c r="H5"/>
  <c r="E5"/>
  <c r="B5"/>
  <c r="D32" i="3"/>
  <c r="C32"/>
  <c r="B32"/>
  <c r="D29"/>
  <c r="C29"/>
  <c r="B29"/>
  <c r="D27"/>
  <c r="C27"/>
  <c r="B27"/>
  <c r="D19"/>
  <c r="C19"/>
  <c r="B19"/>
  <c r="D15"/>
  <c r="C15"/>
  <c r="B15"/>
  <c r="D14"/>
  <c r="C14"/>
  <c r="B14"/>
  <c r="D13"/>
  <c r="C13"/>
  <c r="B13"/>
  <c r="D12"/>
  <c r="C12"/>
  <c r="B12"/>
  <c r="B11"/>
  <c r="B10"/>
  <c r="D33" i="2"/>
  <c r="C33"/>
  <c r="B33"/>
  <c r="D32"/>
  <c r="C32"/>
  <c r="B32"/>
  <c r="D31"/>
  <c r="C31"/>
  <c r="B31"/>
  <c r="D30"/>
  <c r="C30"/>
  <c r="B30"/>
  <c r="D29"/>
  <c r="C29"/>
  <c r="B29"/>
  <c r="D14"/>
  <c r="C14"/>
  <c r="B14"/>
  <c r="D9"/>
  <c r="C9"/>
  <c r="B9"/>
  <c r="D7"/>
  <c r="C7"/>
  <c r="B7"/>
  <c r="D6"/>
  <c r="C6"/>
  <c r="B6"/>
  <c r="D5"/>
  <c r="C5"/>
  <c r="B5"/>
  <c r="D5" i="7" l="1"/>
  <c r="F23" i="6"/>
  <c r="F24" s="1"/>
  <c r="W17"/>
  <c r="E24" i="7"/>
  <c r="E22" s="1"/>
  <c r="T17" i="6"/>
  <c r="E6" i="7"/>
  <c r="E5" s="1"/>
  <c r="T18" i="6"/>
  <c r="D14" i="5"/>
  <c r="D22" s="1"/>
  <c r="D24" s="1"/>
  <c r="D30" i="3" s="1"/>
  <c r="D31" s="1"/>
  <c r="B55" i="4"/>
  <c r="B58" s="1"/>
  <c r="B13" i="8"/>
  <c r="B21"/>
  <c r="B32"/>
  <c r="B24"/>
  <c r="B35"/>
  <c r="B16"/>
  <c r="B27"/>
  <c r="C25" i="5"/>
  <c r="C33" i="3" s="1"/>
  <c r="C34" s="1"/>
  <c r="J55" i="4"/>
  <c r="G12"/>
  <c r="B25" i="5"/>
  <c r="B30" i="3"/>
  <c r="B31" s="1"/>
  <c r="F22" i="8"/>
  <c r="E22" s="1"/>
  <c r="F20"/>
  <c r="D55" i="4"/>
  <c r="F33" i="8"/>
  <c r="E33" s="1"/>
  <c r="F32"/>
  <c r="E32" s="1"/>
  <c r="C33"/>
  <c r="F21"/>
  <c r="E21" s="1"/>
  <c r="C20"/>
  <c r="C21"/>
  <c r="F10"/>
  <c r="E10" s="1"/>
  <c r="C9"/>
  <c r="C10"/>
  <c r="F44" i="4"/>
  <c r="C31" i="8"/>
  <c r="C55" i="4" l="1"/>
  <c r="B26" i="5"/>
  <c r="D25"/>
  <c r="D33" i="3" s="1"/>
  <c r="D34" s="1"/>
  <c r="B33"/>
  <c r="B34" s="1"/>
  <c r="E55" i="4"/>
  <c r="H44"/>
  <c r="E58" l="1"/>
  <c r="F55"/>
  <c r="H55"/>
  <c r="I44"/>
  <c r="B27" i="5"/>
  <c r="H58" i="4" l="1"/>
  <c r="I55"/>
</calcChain>
</file>

<file path=xl/comments1.xml><?xml version="1.0" encoding="utf-8"?>
<comments xmlns="http://schemas.openxmlformats.org/spreadsheetml/2006/main">
  <authors>
    <author>Administrator</author>
  </authors>
  <commentList>
    <comment ref="A2" authorId="0">
      <text>
        <r>
          <rPr>
            <b/>
            <sz val="9"/>
            <rFont val="宋体"/>
            <family val="3"/>
            <charset val="134"/>
          </rPr>
          <t>Administrator:</t>
        </r>
        <r>
          <rPr>
            <sz val="9"/>
            <rFont val="宋体"/>
            <family val="3"/>
            <charset val="134"/>
          </rPr>
          <t xml:space="preserve">
小学、初中比例
1*0.7</t>
        </r>
      </text>
    </comment>
  </commentList>
</comments>
</file>

<file path=xl/comments2.xml><?xml version="1.0" encoding="utf-8"?>
<comments xmlns="http://schemas.openxmlformats.org/spreadsheetml/2006/main">
  <authors>
    <author>Administrator</author>
  </authors>
  <commentList>
    <comment ref="B3" authorId="0">
      <text>
        <r>
          <rPr>
            <b/>
            <sz val="9"/>
            <rFont val="宋体"/>
            <family val="3"/>
            <charset val="134"/>
          </rPr>
          <t>Administrator:</t>
        </r>
        <r>
          <rPr>
            <sz val="9"/>
            <rFont val="宋体"/>
            <family val="3"/>
            <charset val="134"/>
          </rPr>
          <t xml:space="preserve">
228000*2+198000*1=654000</t>
        </r>
      </text>
    </comment>
    <comment ref="G3" authorId="0">
      <text>
        <r>
          <rPr>
            <b/>
            <sz val="9"/>
            <rFont val="宋体"/>
            <family val="3"/>
            <charset val="134"/>
          </rPr>
          <t>Administrator:</t>
        </r>
        <r>
          <rPr>
            <sz val="9"/>
            <rFont val="宋体"/>
            <family val="3"/>
            <charset val="134"/>
          </rPr>
          <t xml:space="preserve">
228000*2+198000*1=654000</t>
        </r>
      </text>
    </comment>
  </commentList>
</comments>
</file>

<file path=xl/sharedStrings.xml><?xml version="1.0" encoding="utf-8"?>
<sst xmlns="http://schemas.openxmlformats.org/spreadsheetml/2006/main" count="441" uniqueCount="318">
  <si>
    <t>民办中小学教育定价成本监审表</t>
  </si>
  <si>
    <t>（2019-2021年度）</t>
  </si>
  <si>
    <r>
      <rPr>
        <sz val="16"/>
        <rFont val="宋体"/>
        <family val="3"/>
        <charset val="134"/>
      </rPr>
      <t>学校名称</t>
    </r>
    <r>
      <rPr>
        <sz val="16"/>
        <rFont val="Times New Roman"/>
        <family val="1"/>
      </rPr>
      <t xml:space="preserve">  </t>
    </r>
    <r>
      <rPr>
        <sz val="16"/>
        <rFont val="宋体"/>
        <family val="3"/>
        <charset val="134"/>
      </rPr>
      <t>（公章）</t>
    </r>
  </si>
  <si>
    <t>祁阳市云龙中学</t>
  </si>
  <si>
    <r>
      <rPr>
        <sz val="16"/>
        <rFont val="宋体"/>
        <family val="3"/>
        <charset val="134"/>
      </rPr>
      <t>法人代表</t>
    </r>
    <r>
      <rPr>
        <sz val="16"/>
        <rFont val="Times New Roman"/>
        <family val="1"/>
      </rPr>
      <t xml:space="preserve">  </t>
    </r>
  </si>
  <si>
    <t>伍保生</t>
  </si>
  <si>
    <r>
      <rPr>
        <sz val="16"/>
        <rFont val="宋体"/>
        <family val="3"/>
        <charset val="134"/>
      </rPr>
      <t>财务负责人</t>
    </r>
  </si>
  <si>
    <t>罗艳兰</t>
  </si>
  <si>
    <r>
      <rPr>
        <sz val="16"/>
        <rFont val="宋体"/>
        <family val="3"/>
        <charset val="134"/>
      </rPr>
      <t>填</t>
    </r>
    <r>
      <rPr>
        <sz val="16"/>
        <rFont val="Times New Roman"/>
        <family val="1"/>
      </rPr>
      <t xml:space="preserve"> </t>
    </r>
    <r>
      <rPr>
        <sz val="16"/>
        <rFont val="宋体"/>
        <family val="3"/>
        <charset val="134"/>
      </rPr>
      <t>表</t>
    </r>
    <r>
      <rPr>
        <sz val="16"/>
        <rFont val="Times New Roman"/>
        <family val="1"/>
      </rPr>
      <t xml:space="preserve"> </t>
    </r>
    <r>
      <rPr>
        <sz val="16"/>
        <rFont val="宋体"/>
        <family val="3"/>
        <charset val="134"/>
      </rPr>
      <t>人</t>
    </r>
    <r>
      <rPr>
        <sz val="16"/>
        <rFont val="Times New Roman"/>
        <family val="1"/>
      </rPr>
      <t xml:space="preserve">  </t>
    </r>
  </si>
  <si>
    <t>蒋建生</t>
  </si>
  <si>
    <r>
      <rPr>
        <sz val="16"/>
        <rFont val="宋体"/>
        <family val="3"/>
        <charset val="134"/>
      </rPr>
      <t>学校地址</t>
    </r>
  </si>
  <si>
    <t>祁阳市黎家坪镇</t>
  </si>
  <si>
    <r>
      <rPr>
        <sz val="16"/>
        <rFont val="宋体"/>
        <family val="3"/>
        <charset val="134"/>
      </rPr>
      <t>邮政编码</t>
    </r>
  </si>
  <si>
    <r>
      <rPr>
        <sz val="16"/>
        <rFont val="宋体"/>
        <family val="3"/>
        <charset val="134"/>
      </rPr>
      <t>电</t>
    </r>
    <r>
      <rPr>
        <sz val="16"/>
        <rFont val="Times New Roman"/>
        <family val="1"/>
      </rPr>
      <t xml:space="preserve">    </t>
    </r>
    <r>
      <rPr>
        <sz val="16"/>
        <rFont val="宋体"/>
        <family val="3"/>
        <charset val="134"/>
      </rPr>
      <t>话</t>
    </r>
  </si>
  <si>
    <r>
      <rPr>
        <sz val="16"/>
        <rFont val="宋体"/>
        <family val="3"/>
        <charset val="134"/>
      </rPr>
      <t>日</t>
    </r>
    <r>
      <rPr>
        <sz val="16"/>
        <rFont val="Times New Roman"/>
        <family val="1"/>
      </rPr>
      <t xml:space="preserve">    </t>
    </r>
    <r>
      <rPr>
        <sz val="16"/>
        <rFont val="宋体"/>
        <family val="3"/>
        <charset val="134"/>
      </rPr>
      <t>期</t>
    </r>
  </si>
  <si>
    <t>2022.7.12</t>
  </si>
  <si>
    <r>
      <rPr>
        <sz val="16"/>
        <rFont val="黑体"/>
        <family val="3"/>
        <charset val="134"/>
      </rPr>
      <t>表</t>
    </r>
    <r>
      <rPr>
        <sz val="16"/>
        <rFont val="Times New Roman"/>
        <family val="1"/>
      </rPr>
      <t>1</t>
    </r>
  </si>
  <si>
    <t>学校类别：</t>
  </si>
  <si>
    <r>
      <rPr>
        <b/>
        <sz val="12"/>
        <color indexed="8"/>
        <rFont val="宋体"/>
        <family val="3"/>
        <charset val="134"/>
      </rPr>
      <t>项　　目</t>
    </r>
  </si>
  <si>
    <r>
      <rPr>
        <b/>
        <sz val="12"/>
        <color indexed="8"/>
        <rFont val="Times New Roman"/>
        <family val="1"/>
      </rPr>
      <t>2019</t>
    </r>
    <r>
      <rPr>
        <b/>
        <sz val="12"/>
        <color indexed="8"/>
        <rFont val="宋体"/>
        <family val="3"/>
        <charset val="134"/>
      </rPr>
      <t>年</t>
    </r>
  </si>
  <si>
    <r>
      <rPr>
        <b/>
        <sz val="12"/>
        <rFont val="Times New Roman"/>
        <family val="1"/>
      </rPr>
      <t>2020</t>
    </r>
    <r>
      <rPr>
        <b/>
        <sz val="12"/>
        <rFont val="宋体"/>
        <family val="3"/>
        <charset val="134"/>
      </rPr>
      <t>年</t>
    </r>
  </si>
  <si>
    <r>
      <rPr>
        <b/>
        <sz val="12"/>
        <rFont val="Times New Roman"/>
        <family val="1"/>
      </rPr>
      <t>2021</t>
    </r>
    <r>
      <rPr>
        <b/>
        <sz val="12"/>
        <rFont val="宋体"/>
        <family val="3"/>
        <charset val="134"/>
      </rPr>
      <t>年</t>
    </r>
  </si>
  <si>
    <r>
      <rPr>
        <b/>
        <sz val="12"/>
        <rFont val="宋体"/>
        <family val="3"/>
        <charset val="134"/>
      </rPr>
      <t>备注</t>
    </r>
  </si>
  <si>
    <r>
      <rPr>
        <b/>
        <sz val="12"/>
        <color indexed="8"/>
        <rFont val="宋体"/>
        <family val="3"/>
        <charset val="134"/>
      </rPr>
      <t>一、班级（个）</t>
    </r>
  </si>
  <si>
    <r>
      <rPr>
        <sz val="12"/>
        <rFont val="宋体"/>
        <family val="3"/>
        <charset val="134"/>
      </rPr>
      <t>数据来源于学生人数统计表（底稿）</t>
    </r>
  </si>
  <si>
    <r>
      <rPr>
        <sz val="12"/>
        <color indexed="8"/>
        <rFont val="宋体"/>
        <family val="3"/>
        <charset val="134"/>
      </rPr>
      <t>　　小学部</t>
    </r>
  </si>
  <si>
    <r>
      <rPr>
        <sz val="12"/>
        <color indexed="8"/>
        <rFont val="宋体"/>
        <family val="3"/>
        <charset val="134"/>
      </rPr>
      <t>　　初中部</t>
    </r>
  </si>
  <si>
    <r>
      <rPr>
        <sz val="12"/>
        <color rgb="FF000000"/>
        <rFont val="Times New Roman"/>
        <family val="1"/>
      </rPr>
      <t xml:space="preserve">       </t>
    </r>
    <r>
      <rPr>
        <sz val="12"/>
        <color indexed="8"/>
        <rFont val="宋体"/>
        <family val="3"/>
        <charset val="134"/>
      </rPr>
      <t>高中部</t>
    </r>
  </si>
  <si>
    <r>
      <rPr>
        <b/>
        <sz val="12"/>
        <color indexed="8"/>
        <rFont val="宋体"/>
        <family val="3"/>
        <charset val="134"/>
      </rPr>
      <t>二、学生总数（人）</t>
    </r>
  </si>
  <si>
    <r>
      <rPr>
        <sz val="12"/>
        <color rgb="FF000000"/>
        <rFont val="Times New Roman"/>
        <family val="1"/>
      </rPr>
      <t xml:space="preserve">        </t>
    </r>
    <r>
      <rPr>
        <sz val="12"/>
        <color indexed="8"/>
        <rFont val="宋体"/>
        <family val="3"/>
        <charset val="134"/>
      </rPr>
      <t>高中部</t>
    </r>
  </si>
  <si>
    <r>
      <rPr>
        <b/>
        <sz val="12"/>
        <rFont val="宋体"/>
        <family val="3"/>
        <charset val="134"/>
      </rPr>
      <t>三、标准学生总人数（人）</t>
    </r>
  </si>
  <si>
    <r>
      <rPr>
        <b/>
        <sz val="12"/>
        <color indexed="8"/>
        <rFont val="宋体"/>
        <family val="3"/>
        <charset val="134"/>
      </rPr>
      <t>四、教职工人数</t>
    </r>
  </si>
  <si>
    <r>
      <rPr>
        <sz val="12"/>
        <rFont val="宋体"/>
        <family val="3"/>
        <charset val="134"/>
      </rPr>
      <t>数据来源于教职工人数统计表（底稿）</t>
    </r>
  </si>
  <si>
    <r>
      <rPr>
        <sz val="12"/>
        <rFont val="宋体"/>
        <family val="3"/>
        <charset val="134"/>
      </rPr>
      <t>（一）在职教职工人数</t>
    </r>
  </si>
  <si>
    <r>
      <rPr>
        <sz val="12"/>
        <rFont val="Times New Roman"/>
        <family val="1"/>
      </rPr>
      <t>1</t>
    </r>
    <r>
      <rPr>
        <sz val="12"/>
        <rFont val="宋体"/>
        <family val="3"/>
        <charset val="134"/>
      </rPr>
      <t>、教学人员</t>
    </r>
  </si>
  <si>
    <r>
      <rPr>
        <sz val="12"/>
        <color rgb="FF000000"/>
        <rFont val="Times New Roman"/>
        <family val="1"/>
      </rPr>
      <t xml:space="preserve">              </t>
    </r>
    <r>
      <rPr>
        <sz val="12"/>
        <color indexed="8"/>
        <rFont val="宋体"/>
        <family val="3"/>
        <charset val="134"/>
      </rPr>
      <t>小学部</t>
    </r>
  </si>
  <si>
    <r>
      <rPr>
        <sz val="12"/>
        <color rgb="FF000000"/>
        <rFont val="Times New Roman"/>
        <family val="1"/>
      </rPr>
      <t xml:space="preserve">             </t>
    </r>
    <r>
      <rPr>
        <sz val="12"/>
        <color indexed="8"/>
        <rFont val="宋体"/>
        <family val="3"/>
        <charset val="134"/>
      </rPr>
      <t>初中部</t>
    </r>
  </si>
  <si>
    <r>
      <rPr>
        <sz val="12"/>
        <color rgb="FF000000"/>
        <rFont val="Times New Roman"/>
        <family val="1"/>
      </rPr>
      <t xml:space="preserve">             </t>
    </r>
    <r>
      <rPr>
        <sz val="12"/>
        <color indexed="8"/>
        <rFont val="宋体"/>
        <family val="3"/>
        <charset val="134"/>
      </rPr>
      <t>高中部</t>
    </r>
  </si>
  <si>
    <t xml:space="preserve">    其中：外籍老师人数</t>
  </si>
  <si>
    <r>
      <rPr>
        <sz val="12"/>
        <rFont val="Times New Roman"/>
        <family val="1"/>
      </rPr>
      <t>2</t>
    </r>
    <r>
      <rPr>
        <sz val="12"/>
        <rFont val="宋体"/>
        <family val="3"/>
        <charset val="134"/>
      </rPr>
      <t>、教学辅助人员</t>
    </r>
  </si>
  <si>
    <r>
      <rPr>
        <sz val="12"/>
        <rFont val="Times New Roman"/>
        <family val="1"/>
      </rPr>
      <t>3</t>
    </r>
    <r>
      <rPr>
        <sz val="12"/>
        <rFont val="宋体"/>
        <family val="3"/>
        <charset val="134"/>
      </rPr>
      <t>、行政管理人员</t>
    </r>
  </si>
  <si>
    <r>
      <rPr>
        <sz val="12"/>
        <rFont val="Times New Roman"/>
        <family val="1"/>
      </rPr>
      <t>4</t>
    </r>
    <r>
      <rPr>
        <sz val="12"/>
        <rFont val="宋体"/>
        <family val="3"/>
        <charset val="134"/>
      </rPr>
      <t>、后勤工作人员</t>
    </r>
  </si>
  <si>
    <r>
      <rPr>
        <sz val="12"/>
        <rFont val="宋体"/>
        <family val="3"/>
        <charset val="134"/>
      </rPr>
      <t>（二）其他人员</t>
    </r>
  </si>
  <si>
    <r>
      <rPr>
        <sz val="12"/>
        <rFont val="Times New Roman"/>
        <family val="1"/>
      </rPr>
      <t xml:space="preserve">    1</t>
    </r>
    <r>
      <rPr>
        <sz val="12"/>
        <rFont val="宋体"/>
        <family val="3"/>
        <charset val="134"/>
      </rPr>
      <t>、短期聘用人员</t>
    </r>
  </si>
  <si>
    <r>
      <rPr>
        <sz val="12"/>
        <rFont val="Times New Roman"/>
        <family val="1"/>
      </rPr>
      <t xml:space="preserve">    2</t>
    </r>
    <r>
      <rPr>
        <sz val="12"/>
        <rFont val="宋体"/>
        <family val="3"/>
        <charset val="134"/>
      </rPr>
      <t>、离退休人员</t>
    </r>
  </si>
  <si>
    <r>
      <rPr>
        <sz val="12"/>
        <rFont val="Times New Roman"/>
        <family val="1"/>
      </rPr>
      <t xml:space="preserve">    3</t>
    </r>
    <r>
      <rPr>
        <sz val="12"/>
        <rFont val="宋体"/>
        <family val="3"/>
        <charset val="134"/>
      </rPr>
      <t>、劳务派遣人员</t>
    </r>
  </si>
  <si>
    <r>
      <rPr>
        <sz val="12"/>
        <rFont val="Times New Roman"/>
        <family val="1"/>
      </rPr>
      <t xml:space="preserve">    4</t>
    </r>
    <r>
      <rPr>
        <sz val="12"/>
        <rFont val="宋体"/>
        <family val="3"/>
        <charset val="134"/>
      </rPr>
      <t>、其他临时人员</t>
    </r>
  </si>
  <si>
    <r>
      <rPr>
        <b/>
        <sz val="12"/>
        <rFont val="宋体"/>
        <family val="3"/>
        <charset val="134"/>
      </rPr>
      <t>五、固定资产年末总值（元）</t>
    </r>
  </si>
  <si>
    <r>
      <rPr>
        <sz val="12"/>
        <rFont val="Times New Roman"/>
        <family val="1"/>
      </rPr>
      <t xml:space="preserve">  1.</t>
    </r>
    <r>
      <rPr>
        <sz val="12"/>
        <rFont val="宋体"/>
        <family val="3"/>
        <charset val="134"/>
      </rPr>
      <t>房屋及构筑物</t>
    </r>
  </si>
  <si>
    <r>
      <rPr>
        <sz val="12"/>
        <rFont val="Times New Roman"/>
        <family val="1"/>
      </rPr>
      <t xml:space="preserve">  2.</t>
    </r>
    <r>
      <rPr>
        <sz val="12"/>
        <rFont val="宋体"/>
        <family val="3"/>
        <charset val="134"/>
      </rPr>
      <t>通用设备</t>
    </r>
  </si>
  <si>
    <r>
      <rPr>
        <sz val="12"/>
        <rFont val="Times New Roman"/>
        <family val="1"/>
      </rPr>
      <t xml:space="preserve">  3.</t>
    </r>
    <r>
      <rPr>
        <sz val="12"/>
        <rFont val="宋体"/>
        <family val="3"/>
        <charset val="134"/>
      </rPr>
      <t>专用设备</t>
    </r>
  </si>
  <si>
    <r>
      <rPr>
        <sz val="12"/>
        <rFont val="Times New Roman"/>
        <family val="1"/>
      </rPr>
      <t xml:space="preserve">  4.</t>
    </r>
    <r>
      <rPr>
        <sz val="12"/>
        <rFont val="宋体"/>
        <family val="3"/>
        <charset val="134"/>
      </rPr>
      <t>家具、用具及装具</t>
    </r>
  </si>
  <si>
    <r>
      <rPr>
        <sz val="12"/>
        <color rgb="FF000000"/>
        <rFont val="Times New Roman"/>
        <family val="1"/>
      </rPr>
      <t xml:space="preserve">      5.</t>
    </r>
    <r>
      <rPr>
        <sz val="12"/>
        <color indexed="8"/>
        <rFont val="宋体"/>
        <family val="3"/>
        <charset val="134"/>
      </rPr>
      <t>其他固定资产</t>
    </r>
  </si>
  <si>
    <r>
      <rPr>
        <sz val="16"/>
        <rFont val="黑体"/>
        <family val="3"/>
        <charset val="134"/>
      </rPr>
      <t>表</t>
    </r>
    <r>
      <rPr>
        <sz val="16"/>
        <rFont val="Times New Roman"/>
        <family val="1"/>
      </rPr>
      <t>2</t>
    </r>
  </si>
  <si>
    <t xml:space="preserve">                               </t>
  </si>
  <si>
    <t>项      目</t>
  </si>
  <si>
    <t>2019年</t>
  </si>
  <si>
    <t>2020年</t>
  </si>
  <si>
    <t>2021年</t>
  </si>
  <si>
    <t>一、财政补助收入（元）</t>
  </si>
  <si>
    <t>（一）教育经费拨款</t>
  </si>
  <si>
    <t>其中：离退休人员拨款</t>
  </si>
  <si>
    <t>（二）科研经费拨款</t>
  </si>
  <si>
    <t>（三）其他</t>
  </si>
  <si>
    <t>二、上级补助收入（元）</t>
  </si>
  <si>
    <t>三、事业收入（元）</t>
  </si>
  <si>
    <t>（一）教育事业收入</t>
  </si>
  <si>
    <t>1、学费收入</t>
  </si>
  <si>
    <t>(1)小学生</t>
  </si>
  <si>
    <t>(2)初中生</t>
  </si>
  <si>
    <t>(3)高中生</t>
  </si>
  <si>
    <t>(4)其他</t>
  </si>
  <si>
    <t>2、住宿费收入</t>
  </si>
  <si>
    <t>3、服务费收入</t>
  </si>
  <si>
    <t>4、其他</t>
  </si>
  <si>
    <t>（二）科研事业收入</t>
  </si>
  <si>
    <t>四、经营收入（元）</t>
  </si>
  <si>
    <t>五、附属单位缴款（元）</t>
  </si>
  <si>
    <t>六、其他收入（元）</t>
  </si>
  <si>
    <t>其中：（一）利息收入</t>
  </si>
  <si>
    <t xml:space="preserve">      （二）捐赠收入</t>
  </si>
  <si>
    <t>合计</t>
  </si>
  <si>
    <t>小学收入每人</t>
  </si>
  <si>
    <t>成本</t>
  </si>
  <si>
    <t>亏损</t>
  </si>
  <si>
    <t>初中收入每人</t>
  </si>
  <si>
    <r>
      <rPr>
        <sz val="16"/>
        <rFont val="黑体"/>
        <family val="3"/>
        <charset val="134"/>
      </rPr>
      <t>表</t>
    </r>
    <r>
      <rPr>
        <sz val="16"/>
        <rFont val="Times New Roman"/>
        <family val="1"/>
      </rPr>
      <t>3</t>
    </r>
  </si>
  <si>
    <t>单位：元</t>
  </si>
  <si>
    <r>
      <rPr>
        <b/>
        <sz val="12"/>
        <rFont val="Times New Roman"/>
        <family val="1"/>
      </rPr>
      <t>2019</t>
    </r>
    <r>
      <rPr>
        <b/>
        <sz val="12"/>
        <rFont val="宋体"/>
        <family val="3"/>
        <charset val="134"/>
      </rPr>
      <t>年核定数</t>
    </r>
  </si>
  <si>
    <r>
      <rPr>
        <b/>
        <sz val="12"/>
        <rFont val="Times New Roman"/>
        <family val="1"/>
      </rPr>
      <t>2020</t>
    </r>
    <r>
      <rPr>
        <b/>
        <sz val="12"/>
        <rFont val="宋体"/>
        <family val="3"/>
        <charset val="134"/>
      </rPr>
      <t>年核定数</t>
    </r>
  </si>
  <si>
    <r>
      <rPr>
        <b/>
        <sz val="12"/>
        <rFont val="Times New Roman"/>
        <family val="1"/>
      </rPr>
      <t>2021</t>
    </r>
    <r>
      <rPr>
        <b/>
        <sz val="12"/>
        <rFont val="宋体"/>
        <family val="3"/>
        <charset val="134"/>
      </rPr>
      <t>年核定数</t>
    </r>
  </si>
  <si>
    <t>一、工资福利支出</t>
  </si>
  <si>
    <t>二、商品和服务支出</t>
  </si>
  <si>
    <t>三、对个人和家庭的补助</t>
  </si>
  <si>
    <t>四、固定资产折旧（元）</t>
  </si>
  <si>
    <t>五、无形资产摊销</t>
  </si>
  <si>
    <t>六、财务费用</t>
  </si>
  <si>
    <t>七、学校总支出</t>
  </si>
  <si>
    <t>收入</t>
  </si>
  <si>
    <r>
      <rPr>
        <sz val="16"/>
        <rFont val="黑体"/>
        <family val="3"/>
        <charset val="134"/>
      </rPr>
      <t>表</t>
    </r>
    <r>
      <rPr>
        <sz val="16"/>
        <rFont val="Times New Roman"/>
        <family val="1"/>
      </rPr>
      <t>4</t>
    </r>
  </si>
  <si>
    <t>项目　</t>
  </si>
  <si>
    <r>
      <rPr>
        <b/>
        <sz val="12"/>
        <rFont val="Times New Roman"/>
        <family val="1"/>
      </rPr>
      <t>2019</t>
    </r>
    <r>
      <rPr>
        <b/>
        <sz val="12"/>
        <rFont val="宋体"/>
        <family val="3"/>
        <charset val="134"/>
      </rPr>
      <t>年</t>
    </r>
  </si>
  <si>
    <r>
      <rPr>
        <b/>
        <sz val="12"/>
        <rFont val="宋体"/>
        <family val="3"/>
        <charset val="134"/>
      </rPr>
      <t>一、学校基本情况</t>
    </r>
    <r>
      <rPr>
        <b/>
        <sz val="12"/>
        <rFont val="Times New Roman"/>
        <family val="1"/>
      </rPr>
      <t xml:space="preserve"> </t>
    </r>
  </si>
  <si>
    <r>
      <rPr>
        <sz val="12"/>
        <rFont val="Times New Roman"/>
        <family val="1"/>
      </rPr>
      <t xml:space="preserve">    (</t>
    </r>
    <r>
      <rPr>
        <sz val="12"/>
        <rFont val="宋体"/>
        <family val="3"/>
        <charset val="134"/>
      </rPr>
      <t>一</t>
    </r>
    <r>
      <rPr>
        <sz val="12"/>
        <rFont val="Times New Roman"/>
        <family val="1"/>
      </rPr>
      <t xml:space="preserve">) </t>
    </r>
    <r>
      <rPr>
        <sz val="12"/>
        <rFont val="宋体"/>
        <family val="3"/>
        <charset val="134"/>
      </rPr>
      <t>标准学生人数</t>
    </r>
    <r>
      <rPr>
        <sz val="12"/>
        <rFont val="Times New Roman"/>
        <family val="1"/>
      </rPr>
      <t>(</t>
    </r>
    <r>
      <rPr>
        <sz val="12"/>
        <rFont val="宋体"/>
        <family val="3"/>
        <charset val="134"/>
      </rPr>
      <t>人</t>
    </r>
    <r>
      <rPr>
        <sz val="12"/>
        <rFont val="Times New Roman"/>
        <family val="1"/>
      </rPr>
      <t xml:space="preserve">)  </t>
    </r>
  </si>
  <si>
    <r>
      <rPr>
        <sz val="12"/>
        <rFont val="Times New Roman"/>
        <family val="1"/>
      </rPr>
      <t xml:space="preserve">    (</t>
    </r>
    <r>
      <rPr>
        <sz val="12"/>
        <rFont val="宋体"/>
        <family val="3"/>
        <charset val="134"/>
      </rPr>
      <t>二</t>
    </r>
    <r>
      <rPr>
        <sz val="12"/>
        <rFont val="Times New Roman"/>
        <family val="1"/>
      </rPr>
      <t>)</t>
    </r>
    <r>
      <rPr>
        <sz val="12"/>
        <rFont val="宋体"/>
        <family val="3"/>
        <charset val="134"/>
      </rPr>
      <t>教职工总数</t>
    </r>
    <r>
      <rPr>
        <sz val="12"/>
        <rFont val="Times New Roman"/>
        <family val="1"/>
      </rPr>
      <t>(</t>
    </r>
    <r>
      <rPr>
        <sz val="12"/>
        <rFont val="宋体"/>
        <family val="3"/>
        <charset val="134"/>
      </rPr>
      <t>人</t>
    </r>
    <r>
      <rPr>
        <sz val="12"/>
        <rFont val="Times New Roman"/>
        <family val="1"/>
      </rPr>
      <t xml:space="preserve">) </t>
    </r>
    <r>
      <rPr>
        <sz val="12"/>
        <rFont val="宋体"/>
        <family val="3"/>
        <charset val="134"/>
      </rPr>
      <t>　　</t>
    </r>
    <r>
      <rPr>
        <sz val="12"/>
        <rFont val="Times New Roman"/>
        <family val="1"/>
      </rPr>
      <t xml:space="preserve"> </t>
    </r>
  </si>
  <si>
    <t>二、行政人员比例</t>
  </si>
  <si>
    <r>
      <rPr>
        <sz val="12"/>
        <rFont val="宋体"/>
        <family val="3"/>
        <charset val="134"/>
      </rPr>
      <t>行政管理人员占在职教职工总数的比重</t>
    </r>
    <r>
      <rPr>
        <sz val="12"/>
        <rFont val="Times New Roman"/>
        <family val="1"/>
      </rPr>
      <t xml:space="preserve"> (%)</t>
    </r>
  </si>
  <si>
    <t>三、师生比</t>
  </si>
  <si>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小学师生比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</si>
  <si>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初中师生比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</si>
  <si>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高中师生比</t>
    </r>
  </si>
  <si>
    <r>
      <rPr>
        <b/>
        <sz val="12"/>
        <rFont val="宋体"/>
        <family val="3"/>
        <charset val="134"/>
      </rPr>
      <t>四、教育培养总成本</t>
    </r>
    <r>
      <rPr>
        <b/>
        <sz val="12"/>
        <rFont val="Times New Roman"/>
        <family val="1"/>
      </rPr>
      <t>(</t>
    </r>
    <r>
      <rPr>
        <b/>
        <sz val="12"/>
        <rFont val="宋体"/>
        <family val="3"/>
        <charset val="134"/>
      </rPr>
      <t>元</t>
    </r>
    <r>
      <rPr>
        <b/>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</si>
  <si>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工资福利支出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</si>
  <si>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商品和服务支出</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</si>
  <si>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对个人家庭补助支出　　</t>
    </r>
    <r>
      <rPr>
        <sz val="12"/>
        <rFont val="Times New Roman"/>
        <family val="1"/>
      </rPr>
      <t xml:space="preserve"> </t>
    </r>
    <r>
      <rPr>
        <sz val="12"/>
        <rFont val="宋体"/>
        <family val="3"/>
        <charset val="134"/>
      </rPr>
      <t>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</si>
  <si>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四</t>
    </r>
    <r>
      <rPr>
        <sz val="12"/>
        <rFont val="Times New Roman"/>
        <family val="1"/>
      </rPr>
      <t>)</t>
    </r>
    <r>
      <rPr>
        <sz val="12"/>
        <rFont val="宋体"/>
        <family val="3"/>
        <charset val="134"/>
      </rPr>
      <t>固定资产折旧</t>
    </r>
  </si>
  <si>
    <r>
      <rPr>
        <sz val="12"/>
        <rFont val="Times New Roman"/>
        <family val="1"/>
      </rPr>
      <t xml:space="preserve">       </t>
    </r>
    <r>
      <rPr>
        <sz val="12"/>
        <rFont val="宋体"/>
        <family val="3"/>
        <charset val="134"/>
      </rPr>
      <t>（五）无形资产摊销</t>
    </r>
  </si>
  <si>
    <r>
      <rPr>
        <sz val="12"/>
        <rFont val="Times New Roman"/>
        <family val="1"/>
      </rPr>
      <t xml:space="preserve">       </t>
    </r>
    <r>
      <rPr>
        <sz val="12"/>
        <rFont val="宋体"/>
        <family val="3"/>
        <charset val="134"/>
      </rPr>
      <t>（六）财务费用</t>
    </r>
  </si>
  <si>
    <t>五、应冲减成本的收入（元）</t>
  </si>
  <si>
    <t>六、核定教育培养总成本（元）</t>
  </si>
  <si>
    <r>
      <rPr>
        <b/>
        <sz val="12"/>
        <rFont val="宋体"/>
        <family val="3"/>
        <charset val="134"/>
      </rPr>
      <t>七、生均教育培养成本</t>
    </r>
    <r>
      <rPr>
        <b/>
        <sz val="12"/>
        <rFont val="Times New Roman"/>
        <family val="1"/>
      </rPr>
      <t>(</t>
    </r>
    <r>
      <rPr>
        <b/>
        <sz val="12"/>
        <rFont val="宋体"/>
        <family val="3"/>
        <charset val="134"/>
      </rPr>
      <t>元／生</t>
    </r>
    <r>
      <rPr>
        <b/>
        <sz val="12"/>
        <rFont val="Times New Roman"/>
        <family val="1"/>
      </rPr>
      <t>·</t>
    </r>
    <r>
      <rPr>
        <b/>
        <sz val="12"/>
        <rFont val="宋体"/>
        <family val="3"/>
        <charset val="134"/>
      </rPr>
      <t>年</t>
    </r>
    <r>
      <rPr>
        <b/>
        <sz val="12"/>
        <rFont val="Times New Roman"/>
        <family val="1"/>
      </rPr>
      <t xml:space="preserve">) </t>
    </r>
  </si>
  <si>
    <r>
      <rPr>
        <sz val="12"/>
        <rFont val="Times New Roman"/>
        <family val="1"/>
      </rPr>
      <t xml:space="preserve">    </t>
    </r>
    <r>
      <rPr>
        <sz val="12"/>
        <rFont val="宋体"/>
        <family val="3"/>
        <charset val="134"/>
      </rPr>
      <t>小学生均教育培养成本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</si>
  <si>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rPr>
        <sz val="12"/>
        <rFont val="Times New Roman"/>
        <family val="1"/>
      </rPr>
      <t xml:space="preserve">    </t>
    </r>
    <r>
      <rPr>
        <sz val="12"/>
        <rFont val="宋体"/>
        <family val="3"/>
        <charset val="134"/>
      </rPr>
      <t>初中生均教育培养成本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</si>
  <si>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t>祁阳市云龙中学2019-2021年在校学生统计表</t>
  </si>
  <si>
    <t>年度</t>
  </si>
  <si>
    <t>学期</t>
  </si>
  <si>
    <t>学校名称</t>
  </si>
  <si>
    <t>班级</t>
  </si>
  <si>
    <t>总人数</t>
  </si>
  <si>
    <t>一年级</t>
  </si>
  <si>
    <t>二年级</t>
  </si>
  <si>
    <t>三年级</t>
  </si>
  <si>
    <t>四年级</t>
  </si>
  <si>
    <t>五年级</t>
  </si>
  <si>
    <t>六年级</t>
  </si>
  <si>
    <t>人数</t>
  </si>
  <si>
    <t>上</t>
  </si>
  <si>
    <t>云龙中学（小学部）</t>
  </si>
  <si>
    <t>云龙中学（初中部）</t>
  </si>
  <si>
    <t>下</t>
  </si>
  <si>
    <t>总计</t>
  </si>
  <si>
    <r>
      <rPr>
        <b/>
        <sz val="12"/>
        <color indexed="8"/>
        <rFont val="宋体"/>
        <family val="3"/>
        <charset val="134"/>
      </rPr>
      <t>项目</t>
    </r>
  </si>
  <si>
    <r>
      <rPr>
        <b/>
        <sz val="12"/>
        <color indexed="8"/>
        <rFont val="宋体"/>
        <family val="3"/>
        <charset val="134"/>
      </rPr>
      <t>上半年人数</t>
    </r>
  </si>
  <si>
    <r>
      <rPr>
        <b/>
        <sz val="12"/>
        <color indexed="8"/>
        <rFont val="宋体"/>
        <family val="3"/>
        <charset val="134"/>
      </rPr>
      <t>下半年人数</t>
    </r>
  </si>
  <si>
    <r>
      <rPr>
        <b/>
        <sz val="12"/>
        <color indexed="8"/>
        <rFont val="宋体"/>
        <family val="3"/>
        <charset val="134"/>
      </rPr>
      <t>核算数</t>
    </r>
  </si>
  <si>
    <r>
      <rPr>
        <b/>
        <sz val="12"/>
        <color indexed="8"/>
        <rFont val="宋体"/>
        <family val="3"/>
        <charset val="134"/>
      </rPr>
      <t>限额数</t>
    </r>
  </si>
  <si>
    <r>
      <rPr>
        <b/>
        <sz val="12"/>
        <color indexed="8"/>
        <rFont val="宋体"/>
        <family val="3"/>
        <charset val="134"/>
      </rPr>
      <t>核定数</t>
    </r>
  </si>
  <si>
    <r>
      <rPr>
        <b/>
        <sz val="12"/>
        <color indexed="8"/>
        <rFont val="宋体"/>
        <family val="3"/>
        <charset val="134"/>
      </rPr>
      <t>核减数</t>
    </r>
  </si>
  <si>
    <t>（一）在职教职工人数</t>
  </si>
  <si>
    <r>
      <rPr>
        <b/>
        <sz val="12"/>
        <color theme="1"/>
        <rFont val="Times New Roman"/>
        <family val="1"/>
      </rPr>
      <t>2019</t>
    </r>
    <r>
      <rPr>
        <b/>
        <sz val="12"/>
        <color indexed="8"/>
        <rFont val="宋体"/>
        <family val="3"/>
        <charset val="134"/>
      </rPr>
      <t>年上报数</t>
    </r>
  </si>
  <si>
    <r>
      <rPr>
        <b/>
        <sz val="12"/>
        <color indexed="8"/>
        <rFont val="宋体"/>
        <family val="3"/>
        <charset val="134"/>
      </rPr>
      <t>最高限额</t>
    </r>
  </si>
  <si>
    <r>
      <rPr>
        <b/>
        <sz val="12"/>
        <color theme="1"/>
        <rFont val="Times New Roman"/>
        <family val="1"/>
      </rPr>
      <t>2019</t>
    </r>
    <r>
      <rPr>
        <b/>
        <sz val="12"/>
        <color indexed="8"/>
        <rFont val="宋体"/>
        <family val="3"/>
        <charset val="134"/>
      </rPr>
      <t>年核减数</t>
    </r>
  </si>
  <si>
    <r>
      <rPr>
        <b/>
        <sz val="12"/>
        <color indexed="8"/>
        <rFont val="宋体"/>
        <family val="3"/>
        <charset val="134"/>
      </rPr>
      <t>最低限额</t>
    </r>
  </si>
  <si>
    <t>2019年核增数</t>
  </si>
  <si>
    <t>比列</t>
  </si>
  <si>
    <r>
      <rPr>
        <sz val="12"/>
        <rFont val="宋体"/>
        <family val="3"/>
        <charset val="134"/>
      </rPr>
      <t>职工薪酬</t>
    </r>
  </si>
  <si>
    <r>
      <rPr>
        <sz val="12"/>
        <rFont val="宋体"/>
        <family val="3"/>
        <charset val="134"/>
      </rPr>
      <t>职工福利费</t>
    </r>
  </si>
  <si>
    <r>
      <rPr>
        <sz val="12"/>
        <rFont val="宋体"/>
        <family val="3"/>
        <charset val="134"/>
      </rPr>
      <t>社会保障费</t>
    </r>
    <r>
      <rPr>
        <sz val="12"/>
        <rFont val="Times New Roman"/>
        <family val="1"/>
      </rPr>
      <t>(</t>
    </r>
    <r>
      <rPr>
        <sz val="12"/>
        <rFont val="宋体"/>
        <family val="3"/>
        <charset val="134"/>
      </rPr>
      <t>五险</t>
    </r>
    <r>
      <rPr>
        <sz val="12"/>
        <rFont val="Times New Roman"/>
        <family val="1"/>
      </rPr>
      <t>)</t>
    </r>
  </si>
  <si>
    <r>
      <rPr>
        <sz val="12"/>
        <rFont val="宋体"/>
        <family val="3"/>
        <charset val="134"/>
      </rPr>
      <t>企业年金</t>
    </r>
  </si>
  <si>
    <t>补充医疗保险</t>
  </si>
  <si>
    <r>
      <rPr>
        <sz val="12"/>
        <rFont val="宋体"/>
        <family val="3"/>
        <charset val="134"/>
      </rPr>
      <t>住房公积金</t>
    </r>
  </si>
  <si>
    <r>
      <rPr>
        <sz val="12"/>
        <rFont val="宋体"/>
        <family val="3"/>
        <charset val="134"/>
      </rPr>
      <t>工会经费</t>
    </r>
  </si>
  <si>
    <r>
      <rPr>
        <sz val="12"/>
        <rFont val="宋体"/>
        <family val="3"/>
        <charset val="134"/>
      </rPr>
      <t>职工教育经费</t>
    </r>
  </si>
  <si>
    <t>其他</t>
  </si>
  <si>
    <r>
      <rPr>
        <b/>
        <sz val="12"/>
        <color theme="1"/>
        <rFont val="Times New Roman"/>
        <family val="1"/>
      </rPr>
      <t>2020</t>
    </r>
    <r>
      <rPr>
        <b/>
        <sz val="12"/>
        <color indexed="8"/>
        <rFont val="宋体"/>
        <family val="3"/>
        <charset val="134"/>
      </rPr>
      <t>年上报数</t>
    </r>
  </si>
  <si>
    <r>
      <rPr>
        <b/>
        <sz val="12"/>
        <color theme="1"/>
        <rFont val="Times New Roman"/>
        <family val="1"/>
      </rPr>
      <t>2020</t>
    </r>
    <r>
      <rPr>
        <b/>
        <sz val="12"/>
        <color indexed="8"/>
        <rFont val="宋体"/>
        <family val="3"/>
        <charset val="134"/>
      </rPr>
      <t>年核减数</t>
    </r>
  </si>
  <si>
    <t>2020年核增数</t>
  </si>
  <si>
    <r>
      <rPr>
        <b/>
        <sz val="12"/>
        <color theme="1"/>
        <rFont val="Times New Roman"/>
        <family val="1"/>
      </rPr>
      <t>2021</t>
    </r>
    <r>
      <rPr>
        <b/>
        <sz val="12"/>
        <color indexed="8"/>
        <rFont val="宋体"/>
        <family val="3"/>
        <charset val="134"/>
      </rPr>
      <t>年上报数</t>
    </r>
  </si>
  <si>
    <r>
      <rPr>
        <b/>
        <sz val="12"/>
        <color theme="1"/>
        <rFont val="Times New Roman"/>
        <family val="1"/>
      </rPr>
      <t>2021</t>
    </r>
    <r>
      <rPr>
        <b/>
        <sz val="12"/>
        <color indexed="8"/>
        <rFont val="宋体"/>
        <family val="3"/>
        <charset val="134"/>
      </rPr>
      <t>年核减数</t>
    </r>
  </si>
  <si>
    <t>2021年核增数</t>
  </si>
  <si>
    <r>
      <rPr>
        <sz val="12"/>
        <color rgb="FF000000"/>
        <rFont val="Times New Roman"/>
        <family val="1"/>
      </rPr>
      <t>1.</t>
    </r>
    <r>
      <rPr>
        <sz val="12"/>
        <color indexed="8"/>
        <rFont val="宋体"/>
        <family val="3"/>
        <charset val="134"/>
      </rPr>
      <t>计算机设备</t>
    </r>
  </si>
  <si>
    <r>
      <rPr>
        <sz val="12"/>
        <color rgb="FF000000"/>
        <rFont val="Times New Roman"/>
        <family val="1"/>
      </rPr>
      <t>2.</t>
    </r>
    <r>
      <rPr>
        <sz val="12"/>
        <color indexed="8"/>
        <rFont val="宋体"/>
        <family val="3"/>
        <charset val="134"/>
      </rPr>
      <t>办公设备</t>
    </r>
  </si>
  <si>
    <r>
      <rPr>
        <sz val="12"/>
        <color rgb="FF000000"/>
        <rFont val="Times New Roman"/>
        <family val="1"/>
      </rPr>
      <t>3.</t>
    </r>
    <r>
      <rPr>
        <sz val="12"/>
        <color indexed="8"/>
        <rFont val="宋体"/>
        <family val="3"/>
        <charset val="134"/>
      </rPr>
      <t>车辆</t>
    </r>
  </si>
  <si>
    <r>
      <rPr>
        <sz val="12"/>
        <color rgb="FF000000"/>
        <rFont val="Times New Roman"/>
        <family val="1"/>
      </rPr>
      <t>4.</t>
    </r>
    <r>
      <rPr>
        <sz val="12"/>
        <color indexed="8"/>
        <rFont val="宋体"/>
        <family val="3"/>
        <charset val="134"/>
      </rPr>
      <t>图书档案设备</t>
    </r>
  </si>
  <si>
    <r>
      <rPr>
        <sz val="12"/>
        <color rgb="FF000000"/>
        <rFont val="Times New Roman"/>
        <family val="1"/>
      </rPr>
      <t>5.</t>
    </r>
    <r>
      <rPr>
        <sz val="12"/>
        <color indexed="8"/>
        <rFont val="宋体"/>
        <family val="3"/>
        <charset val="134"/>
      </rPr>
      <t>机械设备</t>
    </r>
  </si>
  <si>
    <r>
      <rPr>
        <sz val="12"/>
        <color rgb="FF000000"/>
        <rFont val="Times New Roman"/>
        <family val="1"/>
      </rPr>
      <t>6.</t>
    </r>
    <r>
      <rPr>
        <sz val="12"/>
        <color indexed="8"/>
        <rFont val="宋体"/>
        <family val="3"/>
        <charset val="134"/>
      </rPr>
      <t>电气设备</t>
    </r>
  </si>
  <si>
    <r>
      <rPr>
        <sz val="12"/>
        <color rgb="FF000000"/>
        <rFont val="Times New Roman"/>
        <family val="1"/>
      </rPr>
      <t>7.</t>
    </r>
    <r>
      <rPr>
        <sz val="12"/>
        <color indexed="8"/>
        <rFont val="宋体"/>
        <family val="3"/>
        <charset val="134"/>
      </rPr>
      <t>通信设备</t>
    </r>
  </si>
  <si>
    <r>
      <rPr>
        <sz val="12"/>
        <color rgb="FF000000"/>
        <rFont val="Times New Roman"/>
        <family val="1"/>
      </rPr>
      <t>8.</t>
    </r>
    <r>
      <rPr>
        <sz val="12"/>
        <color indexed="8"/>
        <rFont val="宋体"/>
        <family val="3"/>
        <charset val="134"/>
      </rPr>
      <t>广播、电视、电影设备</t>
    </r>
  </si>
  <si>
    <r>
      <rPr>
        <sz val="12"/>
        <color rgb="FF000000"/>
        <rFont val="Times New Roman"/>
        <family val="1"/>
      </rPr>
      <t>9.</t>
    </r>
    <r>
      <rPr>
        <sz val="12"/>
        <color indexed="8"/>
        <rFont val="宋体"/>
        <family val="3"/>
        <charset val="134"/>
      </rPr>
      <t>仪器仪表</t>
    </r>
  </si>
  <si>
    <r>
      <rPr>
        <sz val="12"/>
        <color rgb="FF000000"/>
        <rFont val="Times New Roman"/>
        <family val="1"/>
      </rPr>
      <t>10.</t>
    </r>
    <r>
      <rPr>
        <sz val="12"/>
        <color indexed="8"/>
        <rFont val="宋体"/>
        <family val="3"/>
        <charset val="134"/>
      </rPr>
      <t>电子和通信测量设备、</t>
    </r>
  </si>
  <si>
    <r>
      <rPr>
        <sz val="12"/>
        <color rgb="FF000000"/>
        <rFont val="Times New Roman"/>
        <family val="1"/>
      </rPr>
      <t>11.</t>
    </r>
    <r>
      <rPr>
        <sz val="12"/>
        <color indexed="8"/>
        <rFont val="宋体"/>
        <family val="3"/>
        <charset val="134"/>
      </rPr>
      <t>计量标准器具及量具、衡器</t>
    </r>
  </si>
  <si>
    <r>
      <rPr>
        <b/>
        <sz val="12"/>
        <color indexed="8"/>
        <rFont val="宋体"/>
        <family val="3"/>
        <charset val="134"/>
      </rPr>
      <t>三、专用设备</t>
    </r>
  </si>
  <si>
    <r>
      <rPr>
        <sz val="12"/>
        <color rgb="FF000000"/>
        <rFont val="Times New Roman"/>
        <family val="1"/>
      </rPr>
      <t>1.</t>
    </r>
    <r>
      <rPr>
        <sz val="12"/>
        <color indexed="8"/>
        <rFont val="宋体"/>
        <family val="3"/>
        <charset val="134"/>
      </rPr>
      <t>专用仪器仪表</t>
    </r>
  </si>
  <si>
    <r>
      <rPr>
        <sz val="12"/>
        <color rgb="FF000000"/>
        <rFont val="Times New Roman"/>
        <family val="1"/>
      </rPr>
      <t>2.</t>
    </r>
    <r>
      <rPr>
        <sz val="12"/>
        <color indexed="8"/>
        <rFont val="宋体"/>
        <family val="3"/>
        <charset val="134"/>
      </rPr>
      <t>文艺设备</t>
    </r>
  </si>
  <si>
    <r>
      <rPr>
        <sz val="12"/>
        <color rgb="FF000000"/>
        <rFont val="Times New Roman"/>
        <family val="1"/>
      </rPr>
      <t>3.</t>
    </r>
    <r>
      <rPr>
        <sz val="12"/>
        <color indexed="8"/>
        <rFont val="宋体"/>
        <family val="3"/>
        <charset val="134"/>
      </rPr>
      <t>体育设备</t>
    </r>
  </si>
  <si>
    <r>
      <rPr>
        <sz val="12"/>
        <color rgb="FF000000"/>
        <rFont val="Times New Roman"/>
        <family val="1"/>
      </rPr>
      <t>4.</t>
    </r>
    <r>
      <rPr>
        <sz val="12"/>
        <color indexed="8"/>
        <rFont val="宋体"/>
        <family val="3"/>
        <charset val="134"/>
      </rPr>
      <t>娱乐设备</t>
    </r>
  </si>
  <si>
    <r>
      <rPr>
        <sz val="12"/>
        <color rgb="FF000000"/>
        <rFont val="Times New Roman"/>
        <family val="1"/>
      </rPr>
      <t>5.</t>
    </r>
    <r>
      <rPr>
        <sz val="12"/>
        <color indexed="8"/>
        <rFont val="宋体"/>
        <family val="3"/>
        <charset val="134"/>
      </rPr>
      <t>公安专用设备</t>
    </r>
  </si>
  <si>
    <r>
      <rPr>
        <sz val="12"/>
        <color rgb="FF000000"/>
        <rFont val="Times New Roman"/>
        <family val="1"/>
      </rPr>
      <t>6.</t>
    </r>
    <r>
      <rPr>
        <sz val="12"/>
        <color indexed="8"/>
        <rFont val="宋体"/>
        <family val="3"/>
        <charset val="134"/>
      </rPr>
      <t>其他专用设备</t>
    </r>
  </si>
  <si>
    <r>
      <rPr>
        <b/>
        <sz val="12"/>
        <color indexed="8"/>
        <rFont val="宋体"/>
        <family val="3"/>
        <charset val="134"/>
      </rPr>
      <t>四、家具、用具及装具</t>
    </r>
  </si>
  <si>
    <r>
      <rPr>
        <sz val="12"/>
        <color rgb="FF000000"/>
        <rFont val="Times New Roman"/>
        <family val="1"/>
      </rPr>
      <t>1.</t>
    </r>
    <r>
      <rPr>
        <sz val="12"/>
        <color indexed="8"/>
        <rFont val="宋体"/>
        <family val="3"/>
        <charset val="134"/>
      </rPr>
      <t>家具</t>
    </r>
  </si>
  <si>
    <r>
      <rPr>
        <sz val="12"/>
        <color indexed="8"/>
        <rFont val="宋体"/>
        <family val="3"/>
        <charset val="134"/>
      </rPr>
      <t>其中：学生用家具（教学用）</t>
    </r>
  </si>
  <si>
    <r>
      <rPr>
        <sz val="12"/>
        <color rgb="FF000000"/>
        <rFont val="Times New Roman"/>
        <family val="1"/>
      </rPr>
      <t>2.</t>
    </r>
    <r>
      <rPr>
        <sz val="12"/>
        <color indexed="8"/>
        <rFont val="宋体"/>
        <family val="3"/>
        <charset val="134"/>
      </rPr>
      <t>用具和装具</t>
    </r>
  </si>
  <si>
    <t>承 诺 书</t>
  </si>
  <si>
    <r>
      <rPr>
        <sz val="15"/>
        <color theme="1"/>
        <rFont val="Times New Roman"/>
        <family val="1"/>
      </rPr>
      <t xml:space="preserve">        </t>
    </r>
    <r>
      <rPr>
        <sz val="15"/>
        <color theme="1"/>
        <rFont val="宋体"/>
        <family val="3"/>
        <charset val="134"/>
      </rPr>
      <t>根据《政府制定价格成本监审办法》（国家发展和改革委员会第</t>
    </r>
    <r>
      <rPr>
        <sz val="15"/>
        <color theme="1"/>
        <rFont val="Times New Roman"/>
        <family val="1"/>
      </rPr>
      <t>8</t>
    </r>
    <r>
      <rPr>
        <sz val="15"/>
        <color theme="1"/>
        <rFont val="宋体"/>
        <family val="3"/>
        <charset val="134"/>
      </rPr>
      <t>号令）的要求，我校就湖南省民办中小学校教育培养定价成本监审所提供的成本费用资料及数据郑重承诺如下：</t>
    </r>
  </si>
  <si>
    <t xml:space="preserve">    一、提供的成本所需资料、数据是合法、真实、完整的；</t>
  </si>
  <si>
    <t xml:space="preserve">    二、如因我校提供的资料不合法、不真实、不完整引起的一切后果，由本校自行承担。</t>
  </si>
  <si>
    <r>
      <rPr>
        <sz val="15"/>
        <color theme="1"/>
        <rFont val="Times New Roman"/>
        <family val="1"/>
      </rPr>
      <t xml:space="preserve">                                                    </t>
    </r>
    <r>
      <rPr>
        <sz val="15"/>
        <color theme="1"/>
        <rFont val="宋体"/>
        <family val="3"/>
        <charset val="134"/>
      </rPr>
      <t>财务负责人员（签字）：</t>
    </r>
  </si>
  <si>
    <t xml:space="preserve">                              法人代表（签字）：</t>
  </si>
  <si>
    <r>
      <rPr>
        <sz val="15"/>
        <color theme="1"/>
        <rFont val="Times New Roman"/>
        <family val="1"/>
      </rPr>
      <t xml:space="preserve">                                   </t>
    </r>
    <r>
      <rPr>
        <sz val="15"/>
        <color theme="1"/>
        <rFont val="宋体"/>
        <family val="3"/>
        <charset val="134"/>
      </rPr>
      <t>年</t>
    </r>
    <r>
      <rPr>
        <sz val="15"/>
        <color theme="1"/>
        <rFont val="Times New Roman"/>
        <family val="1"/>
      </rPr>
      <t xml:space="preserve">     </t>
    </r>
    <r>
      <rPr>
        <sz val="15"/>
        <color theme="1"/>
        <rFont val="宋体"/>
        <family val="3"/>
        <charset val="134"/>
      </rPr>
      <t>月</t>
    </r>
    <r>
      <rPr>
        <sz val="16"/>
        <color theme="1"/>
        <rFont val="Times New Roman"/>
        <family val="1"/>
      </rPr>
      <t xml:space="preserve">     </t>
    </r>
    <r>
      <rPr>
        <sz val="16"/>
        <color theme="1"/>
        <rFont val="宋体"/>
        <family val="3"/>
        <charset val="134"/>
      </rPr>
      <t>日</t>
    </r>
  </si>
  <si>
    <r>
      <rPr>
        <sz val="12"/>
        <rFont val="宋体"/>
        <family val="3"/>
        <charset val="134"/>
      </rPr>
      <t>小学部</t>
    </r>
  </si>
  <si>
    <r>
      <rPr>
        <b/>
        <sz val="12"/>
        <rFont val="宋体"/>
        <family val="3"/>
        <charset val="134"/>
      </rPr>
      <t>标准学生人数</t>
    </r>
  </si>
  <si>
    <t>标准人数的确定</t>
    <phoneticPr fontId="40" type="noConversion"/>
  </si>
  <si>
    <t>实际核定人数</t>
    <phoneticPr fontId="40" type="noConversion"/>
  </si>
  <si>
    <t>19.67</t>
    <phoneticPr fontId="40" type="noConversion"/>
  </si>
  <si>
    <t>21.3</t>
    <phoneticPr fontId="40" type="noConversion"/>
  </si>
  <si>
    <t>21.97</t>
    <phoneticPr fontId="40" type="noConversion"/>
  </si>
  <si>
    <t>16.62</t>
    <phoneticPr fontId="40" type="noConversion"/>
  </si>
  <si>
    <t>15.98</t>
    <phoneticPr fontId="40" type="noConversion"/>
  </si>
  <si>
    <t>16.88</t>
    <phoneticPr fontId="40" type="noConversion"/>
  </si>
  <si>
    <r>
      <t xml:space="preserve">    </t>
    </r>
    <r>
      <rPr>
        <sz val="12"/>
        <rFont val="宋体"/>
        <family val="3"/>
        <charset val="134"/>
      </rPr>
      <t>小学三年生均教育培养成本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phoneticPr fontId="40" type="noConversion"/>
  </si>
  <si>
    <r>
      <t xml:space="preserve">    </t>
    </r>
    <r>
      <rPr>
        <sz val="12"/>
        <rFont val="宋体"/>
        <family val="3"/>
        <charset val="134"/>
      </rPr>
      <t>初中三年生均教育培养成本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phoneticPr fontId="40" type="noConversion"/>
  </si>
  <si>
    <t>云龙中学教育培养成本核定表</t>
    <phoneticPr fontId="40" type="noConversion"/>
  </si>
  <si>
    <t>云龙中学基本情况表</t>
    <phoneticPr fontId="40" type="noConversion"/>
  </si>
  <si>
    <t>云龙中学收入情况表</t>
    <phoneticPr fontId="40" type="noConversion"/>
  </si>
  <si>
    <t>云龙中学教育成本归集表</t>
    <phoneticPr fontId="40" type="noConversion"/>
  </si>
  <si>
    <t>云龙中学教职工人数核定表（2021）</t>
    <phoneticPr fontId="40" type="noConversion"/>
  </si>
  <si>
    <t>云龙中学学生人数核定表</t>
    <phoneticPr fontId="40" type="noConversion"/>
  </si>
  <si>
    <t>学云龙中学教职工人数核定表（2020）</t>
    <phoneticPr fontId="40" type="noConversion"/>
  </si>
  <si>
    <t>云龙中学教职工人数核定表（2019）</t>
    <phoneticPr fontId="40" type="noConversion"/>
  </si>
  <si>
    <t>云龙中学职工薪酬核定表</t>
    <phoneticPr fontId="40" type="noConversion"/>
  </si>
  <si>
    <t>学校固定资产折旧计算表</t>
  </si>
  <si>
    <r>
      <rPr>
        <b/>
        <sz val="12"/>
        <color indexed="8"/>
        <rFont val="宋体"/>
        <family val="3"/>
        <charset val="134"/>
      </rPr>
      <t>项</t>
    </r>
    <r>
      <rPr>
        <b/>
        <sz val="12"/>
        <color indexed="8"/>
        <rFont val="Times New Roman"/>
        <family val="1"/>
      </rPr>
      <t xml:space="preserve"> </t>
    </r>
    <r>
      <rPr>
        <b/>
        <sz val="12"/>
        <color indexed="8"/>
        <rFont val="宋体"/>
        <family val="3"/>
        <charset val="134"/>
      </rPr>
      <t>目</t>
    </r>
  </si>
  <si>
    <r>
      <rPr>
        <b/>
        <sz val="12"/>
        <rFont val="宋体"/>
        <family val="3"/>
        <charset val="134"/>
      </rPr>
      <t>原值</t>
    </r>
  </si>
  <si>
    <r>
      <rPr>
        <b/>
        <sz val="12"/>
        <rFont val="宋体"/>
        <family val="3"/>
        <charset val="134"/>
      </rPr>
      <t>折旧年限</t>
    </r>
  </si>
  <si>
    <r>
      <rPr>
        <b/>
        <sz val="12"/>
        <rFont val="宋体"/>
        <family val="3"/>
        <charset val="134"/>
      </rPr>
      <t>残值率</t>
    </r>
  </si>
  <si>
    <r>
      <rPr>
        <b/>
        <sz val="12"/>
        <rFont val="宋体"/>
        <family val="3"/>
        <charset val="134"/>
      </rPr>
      <t>年折旧额</t>
    </r>
  </si>
  <si>
    <r>
      <rPr>
        <b/>
        <sz val="12"/>
        <rFont val="宋体"/>
        <family val="3"/>
        <charset val="134"/>
      </rPr>
      <t>固定资产年末总值（元）</t>
    </r>
  </si>
  <si>
    <r>
      <rPr>
        <b/>
        <sz val="12"/>
        <rFont val="宋体"/>
        <family val="3"/>
        <charset val="134"/>
      </rPr>
      <t>一、房屋及构筑物</t>
    </r>
  </si>
  <si>
    <r>
      <rPr>
        <sz val="12"/>
        <color rgb="FF000000"/>
        <rFont val="Times New Roman"/>
        <family val="1"/>
      </rPr>
      <t>1.</t>
    </r>
    <r>
      <rPr>
        <sz val="12"/>
        <color indexed="8"/>
        <rFont val="宋体"/>
        <family val="3"/>
        <charset val="134"/>
      </rPr>
      <t>房屋</t>
    </r>
  </si>
  <si>
    <r>
      <rPr>
        <sz val="12"/>
        <color rgb="FF000000"/>
        <rFont val="Times New Roman"/>
        <family val="1"/>
      </rPr>
      <t>2.</t>
    </r>
    <r>
      <rPr>
        <sz val="12"/>
        <color indexed="8"/>
        <rFont val="宋体"/>
        <family val="3"/>
        <charset val="134"/>
      </rPr>
      <t>简易房</t>
    </r>
  </si>
  <si>
    <r>
      <rPr>
        <sz val="12"/>
        <color rgb="FF000000"/>
        <rFont val="Times New Roman"/>
        <family val="1"/>
      </rPr>
      <t>3.</t>
    </r>
    <r>
      <rPr>
        <sz val="12"/>
        <color indexed="8"/>
        <rFont val="宋体"/>
        <family val="3"/>
        <charset val="134"/>
      </rPr>
      <t>房屋附属设施</t>
    </r>
  </si>
  <si>
    <r>
      <rPr>
        <sz val="12"/>
        <color rgb="FF000000"/>
        <rFont val="Times New Roman"/>
        <family val="1"/>
      </rPr>
      <t>4.</t>
    </r>
    <r>
      <rPr>
        <sz val="12"/>
        <color indexed="8"/>
        <rFont val="宋体"/>
        <family val="3"/>
        <charset val="134"/>
      </rPr>
      <t>构筑物</t>
    </r>
  </si>
  <si>
    <r>
      <rPr>
        <b/>
        <sz val="12"/>
        <color indexed="8"/>
        <rFont val="宋体"/>
        <family val="3"/>
        <charset val="134"/>
      </rPr>
      <t>二、通用设备</t>
    </r>
  </si>
  <si>
    <r>
      <t xml:space="preserve"> </t>
    </r>
    <r>
      <rPr>
        <sz val="11"/>
        <color theme="1"/>
        <rFont val="宋体"/>
        <family val="3"/>
        <charset val="134"/>
        <scheme val="minor"/>
      </rPr>
      <t xml:space="preserve"> </t>
    </r>
    <phoneticPr fontId="40" type="noConversion"/>
  </si>
  <si>
    <r>
      <rPr>
        <b/>
        <sz val="10"/>
        <rFont val="宋体"/>
        <family val="3"/>
        <charset val="134"/>
      </rPr>
      <t>项</t>
    </r>
    <r>
      <rPr>
        <b/>
        <sz val="10"/>
        <rFont val="Times New Roman"/>
        <family val="1"/>
      </rPr>
      <t xml:space="preserve">  </t>
    </r>
    <r>
      <rPr>
        <b/>
        <sz val="10"/>
        <rFont val="宋体"/>
        <family val="3"/>
        <charset val="134"/>
      </rPr>
      <t>目</t>
    </r>
  </si>
  <si>
    <r>
      <t>2019</t>
    </r>
    <r>
      <rPr>
        <b/>
        <sz val="10"/>
        <rFont val="宋体"/>
        <family val="3"/>
        <charset val="134"/>
      </rPr>
      <t>年上报数</t>
    </r>
  </si>
  <si>
    <r>
      <rPr>
        <b/>
        <sz val="10"/>
        <rFont val="宋体"/>
        <family val="3"/>
        <charset val="134"/>
      </rPr>
      <t>核增（减）</t>
    </r>
  </si>
  <si>
    <r>
      <t>2019</t>
    </r>
    <r>
      <rPr>
        <b/>
        <sz val="10"/>
        <rFont val="宋体"/>
        <family val="3"/>
        <charset val="134"/>
      </rPr>
      <t>年核定数</t>
    </r>
  </si>
  <si>
    <r>
      <t>2020</t>
    </r>
    <r>
      <rPr>
        <b/>
        <sz val="10"/>
        <rFont val="宋体"/>
        <family val="3"/>
        <charset val="134"/>
      </rPr>
      <t>年上报数</t>
    </r>
  </si>
  <si>
    <r>
      <t>2020</t>
    </r>
    <r>
      <rPr>
        <b/>
        <sz val="10"/>
        <rFont val="宋体"/>
        <family val="3"/>
        <charset val="134"/>
      </rPr>
      <t>年核定数</t>
    </r>
  </si>
  <si>
    <r>
      <t>2021</t>
    </r>
    <r>
      <rPr>
        <b/>
        <sz val="10"/>
        <rFont val="宋体"/>
        <family val="3"/>
        <charset val="134"/>
      </rPr>
      <t>年上报数</t>
    </r>
  </si>
  <si>
    <r>
      <t>2021</t>
    </r>
    <r>
      <rPr>
        <b/>
        <sz val="10"/>
        <rFont val="宋体"/>
        <family val="3"/>
        <charset val="134"/>
      </rPr>
      <t>年核定数</t>
    </r>
  </si>
  <si>
    <r>
      <t xml:space="preserve">  1.</t>
    </r>
    <r>
      <rPr>
        <sz val="10"/>
        <rFont val="宋体"/>
        <family val="3"/>
        <charset val="134"/>
      </rPr>
      <t>基本工资</t>
    </r>
  </si>
  <si>
    <r>
      <t xml:space="preserve">  2.</t>
    </r>
    <r>
      <rPr>
        <sz val="10"/>
        <rFont val="宋体"/>
        <family val="3"/>
        <charset val="134"/>
      </rPr>
      <t>福利</t>
    </r>
    <phoneticPr fontId="40" type="noConversion"/>
  </si>
  <si>
    <r>
      <t xml:space="preserve">  3.</t>
    </r>
    <r>
      <rPr>
        <sz val="10"/>
        <rFont val="宋体"/>
        <family val="3"/>
        <charset val="134"/>
      </rPr>
      <t>奖金</t>
    </r>
  </si>
  <si>
    <r>
      <t xml:space="preserve">  4.</t>
    </r>
    <r>
      <rPr>
        <sz val="10"/>
        <rFont val="宋体"/>
        <family val="3"/>
        <charset val="134"/>
      </rPr>
      <t>社会保险费</t>
    </r>
  </si>
  <si>
    <r>
      <t xml:space="preserve">  5.</t>
    </r>
    <r>
      <rPr>
        <sz val="10"/>
        <rFont val="宋体"/>
        <family val="3"/>
        <charset val="134"/>
      </rPr>
      <t>住房公积金</t>
    </r>
  </si>
  <si>
    <r>
      <t xml:space="preserve">  6.</t>
    </r>
    <r>
      <rPr>
        <sz val="10"/>
        <rFont val="宋体"/>
        <family val="3"/>
        <charset val="134"/>
      </rPr>
      <t>其他</t>
    </r>
  </si>
  <si>
    <r>
      <t xml:space="preserve">    1.</t>
    </r>
    <r>
      <rPr>
        <sz val="10"/>
        <color indexed="8"/>
        <rFont val="宋体"/>
        <family val="3"/>
        <charset val="134"/>
      </rPr>
      <t>办公费</t>
    </r>
  </si>
  <si>
    <r>
      <t xml:space="preserve">    2.</t>
    </r>
    <r>
      <rPr>
        <sz val="10"/>
        <color indexed="8"/>
        <rFont val="宋体"/>
        <family val="3"/>
        <charset val="134"/>
      </rPr>
      <t>印刷费</t>
    </r>
  </si>
  <si>
    <r>
      <t xml:space="preserve">    3.</t>
    </r>
    <r>
      <rPr>
        <sz val="10"/>
        <color indexed="8"/>
        <rFont val="宋体"/>
        <family val="3"/>
        <charset val="134"/>
      </rPr>
      <t>咨询费</t>
    </r>
  </si>
  <si>
    <r>
      <t xml:space="preserve">    4.</t>
    </r>
    <r>
      <rPr>
        <sz val="10"/>
        <color indexed="8"/>
        <rFont val="宋体"/>
        <family val="3"/>
        <charset val="134"/>
      </rPr>
      <t>手续费</t>
    </r>
  </si>
  <si>
    <r>
      <t xml:space="preserve">    5.</t>
    </r>
    <r>
      <rPr>
        <sz val="10"/>
        <color indexed="8"/>
        <rFont val="宋体"/>
        <family val="3"/>
        <charset val="134"/>
      </rPr>
      <t>水费</t>
    </r>
  </si>
  <si>
    <r>
      <t xml:space="preserve">    6.</t>
    </r>
    <r>
      <rPr>
        <sz val="10"/>
        <color indexed="8"/>
        <rFont val="宋体"/>
        <family val="3"/>
        <charset val="134"/>
      </rPr>
      <t>电费</t>
    </r>
  </si>
  <si>
    <r>
      <t xml:space="preserve">    7.</t>
    </r>
    <r>
      <rPr>
        <sz val="10"/>
        <color indexed="8"/>
        <rFont val="宋体"/>
        <family val="3"/>
        <charset val="134"/>
      </rPr>
      <t>邮电费</t>
    </r>
  </si>
  <si>
    <r>
      <t xml:space="preserve">    8.</t>
    </r>
    <r>
      <rPr>
        <sz val="10"/>
        <color indexed="8"/>
        <rFont val="宋体"/>
        <family val="3"/>
        <charset val="134"/>
      </rPr>
      <t>物业管理费</t>
    </r>
  </si>
  <si>
    <r>
      <t xml:space="preserve">    9.</t>
    </r>
    <r>
      <rPr>
        <sz val="10"/>
        <color indexed="8"/>
        <rFont val="宋体"/>
        <family val="3"/>
        <charset val="134"/>
      </rPr>
      <t>差旅费</t>
    </r>
  </si>
  <si>
    <r>
      <t xml:space="preserve">    10.</t>
    </r>
    <r>
      <rPr>
        <sz val="10"/>
        <color indexed="8"/>
        <rFont val="宋体"/>
        <family val="3"/>
        <charset val="134"/>
      </rPr>
      <t>因公出国（境）费用</t>
    </r>
  </si>
  <si>
    <r>
      <t xml:space="preserve">    11.</t>
    </r>
    <r>
      <rPr>
        <sz val="10"/>
        <color indexed="8"/>
        <rFont val="宋体"/>
        <family val="3"/>
        <charset val="134"/>
      </rPr>
      <t>维修（护）费</t>
    </r>
  </si>
  <si>
    <r>
      <t xml:space="preserve">    12.</t>
    </r>
    <r>
      <rPr>
        <sz val="10"/>
        <color indexed="8"/>
        <rFont val="宋体"/>
        <family val="3"/>
        <charset val="134"/>
      </rPr>
      <t>租赁费</t>
    </r>
  </si>
  <si>
    <r>
      <t xml:space="preserve">    13.</t>
    </r>
    <r>
      <rPr>
        <sz val="10"/>
        <color indexed="8"/>
        <rFont val="宋体"/>
        <family val="3"/>
        <charset val="134"/>
      </rPr>
      <t>考务费</t>
    </r>
    <phoneticPr fontId="40" type="noConversion"/>
  </si>
  <si>
    <r>
      <t xml:space="preserve">    14.</t>
    </r>
    <r>
      <rPr>
        <sz val="10"/>
        <color indexed="8"/>
        <rFont val="宋体"/>
        <family val="3"/>
        <charset val="134"/>
      </rPr>
      <t>培训费</t>
    </r>
  </si>
  <si>
    <r>
      <t xml:space="preserve">    15.</t>
    </r>
    <r>
      <rPr>
        <sz val="10"/>
        <color indexed="8"/>
        <rFont val="宋体"/>
        <family val="3"/>
        <charset val="134"/>
      </rPr>
      <t>公务接待费</t>
    </r>
  </si>
  <si>
    <r>
      <t xml:space="preserve">    16.</t>
    </r>
    <r>
      <rPr>
        <sz val="10"/>
        <color indexed="8"/>
        <rFont val="宋体"/>
        <family val="3"/>
        <charset val="134"/>
      </rPr>
      <t>专用材料费</t>
    </r>
  </si>
  <si>
    <r>
      <t xml:space="preserve">    17.</t>
    </r>
    <r>
      <rPr>
        <sz val="10"/>
        <color indexed="8"/>
        <rFont val="宋体"/>
        <family val="3"/>
        <charset val="134"/>
      </rPr>
      <t>劳务费</t>
    </r>
  </si>
  <si>
    <r>
      <t xml:space="preserve">    18.</t>
    </r>
    <r>
      <rPr>
        <sz val="10"/>
        <color indexed="8"/>
        <rFont val="宋体"/>
        <family val="3"/>
        <charset val="134"/>
      </rPr>
      <t>委托业务费</t>
    </r>
  </si>
  <si>
    <r>
      <t xml:space="preserve">    19.</t>
    </r>
    <r>
      <rPr>
        <sz val="10"/>
        <color indexed="8"/>
        <rFont val="宋体"/>
        <family val="3"/>
        <charset val="134"/>
      </rPr>
      <t>工会经费</t>
    </r>
  </si>
  <si>
    <r>
      <t xml:space="preserve">    20.</t>
    </r>
    <r>
      <rPr>
        <sz val="10"/>
        <color indexed="8"/>
        <rFont val="宋体"/>
        <family val="3"/>
        <charset val="134"/>
      </rPr>
      <t>福利费</t>
    </r>
  </si>
  <si>
    <r>
      <t xml:space="preserve">    21.</t>
    </r>
    <r>
      <rPr>
        <sz val="10"/>
        <color indexed="8"/>
        <rFont val="宋体"/>
        <family val="3"/>
        <charset val="134"/>
      </rPr>
      <t>车辆运行维护费</t>
    </r>
  </si>
  <si>
    <r>
      <t xml:space="preserve">    22.</t>
    </r>
    <r>
      <rPr>
        <sz val="10"/>
        <color indexed="8"/>
        <rFont val="宋体"/>
        <family val="3"/>
        <charset val="134"/>
      </rPr>
      <t>其他交通费用</t>
    </r>
  </si>
  <si>
    <r>
      <t xml:space="preserve">    23.</t>
    </r>
    <r>
      <rPr>
        <sz val="10"/>
        <color indexed="8"/>
        <rFont val="宋体"/>
        <family val="3"/>
        <charset val="134"/>
      </rPr>
      <t>税金及附加费用</t>
    </r>
  </si>
  <si>
    <r>
      <t xml:space="preserve">    24.</t>
    </r>
    <r>
      <rPr>
        <sz val="10"/>
        <color indexed="8"/>
        <rFont val="宋体"/>
        <family val="3"/>
        <charset val="134"/>
      </rPr>
      <t>其他商品和服务支出</t>
    </r>
  </si>
  <si>
    <r>
      <t xml:space="preserve">    1.</t>
    </r>
    <r>
      <rPr>
        <sz val="10"/>
        <color indexed="8"/>
        <rFont val="宋体"/>
        <family val="3"/>
        <charset val="134"/>
      </rPr>
      <t>离休费</t>
    </r>
  </si>
  <si>
    <r>
      <t xml:space="preserve">    2.</t>
    </r>
    <r>
      <rPr>
        <sz val="10"/>
        <color indexed="8"/>
        <rFont val="宋体"/>
        <family val="3"/>
        <charset val="134"/>
      </rPr>
      <t>抚恤金</t>
    </r>
  </si>
  <si>
    <r>
      <t xml:space="preserve">    3.</t>
    </r>
    <r>
      <rPr>
        <sz val="10"/>
        <color indexed="8"/>
        <rFont val="宋体"/>
        <family val="3"/>
        <charset val="134"/>
      </rPr>
      <t>生活补助</t>
    </r>
  </si>
  <si>
    <r>
      <t xml:space="preserve">    4.</t>
    </r>
    <r>
      <rPr>
        <sz val="10"/>
        <color indexed="8"/>
        <rFont val="宋体"/>
        <family val="3"/>
        <charset val="134"/>
      </rPr>
      <t>医疗费补助</t>
    </r>
  </si>
  <si>
    <r>
      <t xml:space="preserve">    5.</t>
    </r>
    <r>
      <rPr>
        <sz val="10"/>
        <color indexed="8"/>
        <rFont val="宋体"/>
        <family val="3"/>
        <charset val="134"/>
      </rPr>
      <t>助学金</t>
    </r>
  </si>
  <si>
    <r>
      <t xml:space="preserve">    6.</t>
    </r>
    <r>
      <rPr>
        <sz val="10"/>
        <color indexed="8"/>
        <rFont val="宋体"/>
        <family val="3"/>
        <charset val="134"/>
      </rPr>
      <t>其他对个人和家庭的补助支出</t>
    </r>
  </si>
  <si>
    <r>
      <t xml:space="preserve">  1.</t>
    </r>
    <r>
      <rPr>
        <sz val="10"/>
        <rFont val="宋体"/>
        <family val="3"/>
        <charset val="134"/>
      </rPr>
      <t>房屋及构筑物</t>
    </r>
  </si>
  <si>
    <r>
      <t xml:space="preserve">  2.</t>
    </r>
    <r>
      <rPr>
        <sz val="10"/>
        <rFont val="宋体"/>
        <family val="3"/>
        <charset val="134"/>
      </rPr>
      <t>通用设备</t>
    </r>
  </si>
  <si>
    <r>
      <t xml:space="preserve">  3.</t>
    </r>
    <r>
      <rPr>
        <sz val="10"/>
        <rFont val="宋体"/>
        <family val="3"/>
        <charset val="134"/>
      </rPr>
      <t>专用设备</t>
    </r>
  </si>
  <si>
    <r>
      <t xml:space="preserve">  4.</t>
    </r>
    <r>
      <rPr>
        <sz val="10"/>
        <rFont val="宋体"/>
        <family val="3"/>
        <charset val="134"/>
      </rPr>
      <t>家具、用具及装具</t>
    </r>
  </si>
  <si>
    <r>
      <t xml:space="preserve">    5.</t>
    </r>
    <r>
      <rPr>
        <sz val="10"/>
        <color indexed="8"/>
        <rFont val="宋体"/>
        <family val="3"/>
        <charset val="134"/>
      </rPr>
      <t>其他固定资产</t>
    </r>
  </si>
  <si>
    <r>
      <t xml:space="preserve">    1.</t>
    </r>
    <r>
      <rPr>
        <sz val="10"/>
        <rFont val="宋体"/>
        <family val="3"/>
        <charset val="134"/>
      </rPr>
      <t>利息支出</t>
    </r>
  </si>
  <si>
    <r>
      <t xml:space="preserve">    2.</t>
    </r>
    <r>
      <rPr>
        <sz val="10"/>
        <rFont val="宋体"/>
        <family val="3"/>
        <charset val="134"/>
      </rPr>
      <t>利息收入</t>
    </r>
  </si>
  <si>
    <r>
      <t xml:space="preserve">    3.</t>
    </r>
    <r>
      <rPr>
        <sz val="10"/>
        <rFont val="宋体"/>
        <family val="3"/>
        <charset val="134"/>
      </rPr>
      <t>手续费</t>
    </r>
  </si>
  <si>
    <r>
      <rPr>
        <sz val="10"/>
        <rFont val="宋体"/>
        <family val="3"/>
        <charset val="134"/>
      </rPr>
      <t>该校为九年一贯制学校，标准人数</t>
    </r>
    <r>
      <rPr>
        <sz val="10"/>
        <rFont val="Times New Roman"/>
        <family val="1"/>
      </rPr>
      <t>=</t>
    </r>
    <r>
      <rPr>
        <sz val="10"/>
        <rFont val="宋体"/>
        <family val="3"/>
        <charset val="134"/>
      </rPr>
      <t>初中人数</t>
    </r>
    <r>
      <rPr>
        <sz val="10"/>
        <rFont val="Times New Roman"/>
        <family val="1"/>
      </rPr>
      <t>×0.8+</t>
    </r>
    <r>
      <rPr>
        <sz val="10"/>
        <rFont val="宋体"/>
        <family val="3"/>
        <charset val="134"/>
      </rPr>
      <t>小学人数×</t>
    </r>
    <r>
      <rPr>
        <sz val="10"/>
        <rFont val="Times New Roman"/>
        <family val="1"/>
      </rPr>
      <t>0.56</t>
    </r>
    <phoneticPr fontId="40" type="noConversion"/>
  </si>
  <si>
    <r>
      <rPr>
        <sz val="10"/>
        <rFont val="宋体"/>
        <family val="3"/>
        <charset val="134"/>
      </rPr>
      <t>标准人数</t>
    </r>
    <r>
      <rPr>
        <sz val="10"/>
        <rFont val="Times New Roman"/>
        <family val="1"/>
      </rPr>
      <t>2019</t>
    </r>
    <r>
      <rPr>
        <sz val="10"/>
        <rFont val="宋体"/>
        <family val="3"/>
        <charset val="134"/>
      </rPr>
      <t>年</t>
    </r>
    <phoneticPr fontId="40" type="noConversion"/>
  </si>
  <si>
    <r>
      <t>2019</t>
    </r>
    <r>
      <rPr>
        <sz val="10"/>
        <rFont val="宋体"/>
        <family val="3"/>
        <charset val="134"/>
      </rPr>
      <t>年</t>
    </r>
    <phoneticPr fontId="40" type="noConversion"/>
  </si>
  <si>
    <r>
      <rPr>
        <sz val="10"/>
        <rFont val="宋体"/>
        <family val="3"/>
        <charset val="134"/>
      </rPr>
      <t>标准人数</t>
    </r>
    <r>
      <rPr>
        <sz val="10"/>
        <rFont val="Times New Roman"/>
        <family val="1"/>
      </rPr>
      <t>2020</t>
    </r>
    <r>
      <rPr>
        <sz val="10"/>
        <rFont val="宋体"/>
        <family val="3"/>
        <charset val="134"/>
      </rPr>
      <t>年</t>
    </r>
    <phoneticPr fontId="40" type="noConversion"/>
  </si>
  <si>
    <r>
      <t>2020</t>
    </r>
    <r>
      <rPr>
        <sz val="10"/>
        <rFont val="宋体"/>
        <family val="3"/>
        <charset val="134"/>
      </rPr>
      <t>年</t>
    </r>
    <phoneticPr fontId="40" type="noConversion"/>
  </si>
  <si>
    <r>
      <rPr>
        <sz val="10"/>
        <rFont val="宋体"/>
        <family val="3"/>
        <charset val="134"/>
      </rPr>
      <t>标准人数</t>
    </r>
    <r>
      <rPr>
        <sz val="10"/>
        <rFont val="Times New Roman"/>
        <family val="1"/>
      </rPr>
      <t>2021</t>
    </r>
    <r>
      <rPr>
        <sz val="10"/>
        <rFont val="宋体"/>
        <family val="3"/>
        <charset val="134"/>
      </rPr>
      <t>年</t>
    </r>
    <phoneticPr fontId="40" type="noConversion"/>
  </si>
  <si>
    <r>
      <t>2021</t>
    </r>
    <r>
      <rPr>
        <sz val="10"/>
        <rFont val="宋体"/>
        <family val="3"/>
        <charset val="134"/>
      </rPr>
      <t>年</t>
    </r>
    <phoneticPr fontId="40" type="noConversion"/>
  </si>
  <si>
    <r>
      <rPr>
        <b/>
        <sz val="10"/>
        <color indexed="8"/>
        <rFont val="宋体"/>
        <family val="3"/>
        <charset val="134"/>
      </rPr>
      <t>学部</t>
    </r>
  </si>
  <si>
    <r>
      <rPr>
        <b/>
        <sz val="10"/>
        <color indexed="8"/>
        <rFont val="宋体"/>
        <family val="3"/>
        <charset val="134"/>
      </rPr>
      <t>班级</t>
    </r>
  </si>
  <si>
    <r>
      <rPr>
        <b/>
        <sz val="10"/>
        <color indexed="8"/>
        <rFont val="宋体"/>
        <family val="3"/>
        <charset val="134"/>
      </rPr>
      <t>上半年学生人数</t>
    </r>
  </si>
  <si>
    <r>
      <rPr>
        <b/>
        <sz val="10"/>
        <color indexed="8"/>
        <rFont val="宋体"/>
        <family val="3"/>
        <charset val="134"/>
      </rPr>
      <t>下半年学生人数</t>
    </r>
  </si>
  <si>
    <r>
      <rPr>
        <b/>
        <sz val="10"/>
        <color indexed="8"/>
        <rFont val="宋体"/>
        <family val="3"/>
        <charset val="134"/>
      </rPr>
      <t>核定数</t>
    </r>
  </si>
  <si>
    <r>
      <rPr>
        <sz val="10"/>
        <rFont val="宋体"/>
        <family val="3"/>
        <charset val="134"/>
      </rPr>
      <t>初中部</t>
    </r>
  </si>
  <si>
    <r>
      <rPr>
        <b/>
        <sz val="10"/>
        <color indexed="8"/>
        <rFont val="宋体"/>
        <family val="3"/>
        <charset val="134"/>
      </rPr>
      <t>教职工人数</t>
    </r>
  </si>
  <si>
    <r>
      <t>1</t>
    </r>
    <r>
      <rPr>
        <sz val="10"/>
        <rFont val="宋体"/>
        <family val="3"/>
        <charset val="134"/>
      </rPr>
      <t>、教学人员</t>
    </r>
  </si>
  <si>
    <r>
      <t xml:space="preserve">             </t>
    </r>
    <r>
      <rPr>
        <sz val="10"/>
        <color indexed="8"/>
        <rFont val="宋体"/>
        <family val="3"/>
        <charset val="134"/>
      </rPr>
      <t>小学部</t>
    </r>
  </si>
  <si>
    <r>
      <t xml:space="preserve">            </t>
    </r>
    <r>
      <rPr>
        <sz val="10"/>
        <color indexed="8"/>
        <rFont val="宋体"/>
        <family val="3"/>
        <charset val="134"/>
      </rPr>
      <t>初中部</t>
    </r>
  </si>
  <si>
    <r>
      <t xml:space="preserve">            </t>
    </r>
    <r>
      <rPr>
        <sz val="10"/>
        <color indexed="8"/>
        <rFont val="宋体"/>
        <family val="3"/>
        <charset val="134"/>
      </rPr>
      <t>高中部</t>
    </r>
  </si>
  <si>
    <r>
      <t>2</t>
    </r>
    <r>
      <rPr>
        <sz val="10"/>
        <rFont val="宋体"/>
        <family val="3"/>
        <charset val="134"/>
      </rPr>
      <t>、教学辅助人员</t>
    </r>
  </si>
  <si>
    <r>
      <t>3</t>
    </r>
    <r>
      <rPr>
        <sz val="10"/>
        <rFont val="宋体"/>
        <family val="3"/>
        <charset val="134"/>
      </rPr>
      <t>、行政管理人员</t>
    </r>
  </si>
  <si>
    <r>
      <t>4</t>
    </r>
    <r>
      <rPr>
        <sz val="10"/>
        <rFont val="宋体"/>
        <family val="3"/>
        <charset val="134"/>
      </rPr>
      <t>、后勤工作人员</t>
    </r>
  </si>
  <si>
    <r>
      <rPr>
        <sz val="10"/>
        <rFont val="宋体"/>
        <family val="3"/>
        <charset val="134"/>
      </rPr>
      <t>（二）其他人员</t>
    </r>
  </si>
  <si>
    <r>
      <t xml:space="preserve">    1</t>
    </r>
    <r>
      <rPr>
        <sz val="10"/>
        <rFont val="宋体"/>
        <family val="3"/>
        <charset val="134"/>
      </rPr>
      <t>、短期聘用人员</t>
    </r>
  </si>
  <si>
    <r>
      <t xml:space="preserve">    2</t>
    </r>
    <r>
      <rPr>
        <sz val="10"/>
        <rFont val="宋体"/>
        <family val="3"/>
        <charset val="134"/>
      </rPr>
      <t>、离退休人员</t>
    </r>
  </si>
  <si>
    <r>
      <t xml:space="preserve">    3</t>
    </r>
    <r>
      <rPr>
        <sz val="10"/>
        <rFont val="宋体"/>
        <family val="3"/>
        <charset val="134"/>
      </rPr>
      <t>、劳务派遣人员</t>
    </r>
  </si>
  <si>
    <r>
      <t xml:space="preserve">    4</t>
    </r>
    <r>
      <rPr>
        <sz val="10"/>
        <rFont val="宋体"/>
        <family val="3"/>
        <charset val="134"/>
      </rPr>
      <t>、其他临时人员</t>
    </r>
  </si>
  <si>
    <r>
      <rPr>
        <b/>
        <sz val="10"/>
        <color indexed="8"/>
        <rFont val="宋体"/>
        <family val="3"/>
        <charset val="134"/>
      </rPr>
      <t>项目</t>
    </r>
  </si>
  <si>
    <r>
      <rPr>
        <b/>
        <sz val="10"/>
        <color indexed="8"/>
        <rFont val="宋体"/>
        <family val="3"/>
        <charset val="134"/>
      </rPr>
      <t>上半年人数</t>
    </r>
  </si>
  <si>
    <r>
      <rPr>
        <b/>
        <sz val="10"/>
        <color indexed="8"/>
        <rFont val="宋体"/>
        <family val="3"/>
        <charset val="134"/>
      </rPr>
      <t>下半年人数</t>
    </r>
  </si>
  <si>
    <r>
      <rPr>
        <b/>
        <sz val="10"/>
        <color indexed="8"/>
        <rFont val="宋体"/>
        <family val="3"/>
        <charset val="134"/>
      </rPr>
      <t>核算数</t>
    </r>
  </si>
  <si>
    <r>
      <rPr>
        <b/>
        <sz val="10"/>
        <color indexed="8"/>
        <rFont val="宋体"/>
        <family val="3"/>
        <charset val="134"/>
      </rPr>
      <t>限额数</t>
    </r>
  </si>
  <si>
    <r>
      <rPr>
        <b/>
        <sz val="10"/>
        <color indexed="8"/>
        <rFont val="宋体"/>
        <family val="3"/>
        <charset val="134"/>
      </rPr>
      <t>核减数</t>
    </r>
  </si>
</sst>
</file>

<file path=xl/styles.xml><?xml version="1.0" encoding="utf-8"?>
<styleSheet xmlns="http://schemas.openxmlformats.org/spreadsheetml/2006/main">
  <numFmts count="6">
    <numFmt numFmtId="43" formatCode="_ * #,##0.00_ ;_ * \-#,##0.00_ ;_ * &quot;-&quot;??_ ;_ @_ "/>
    <numFmt numFmtId="176" formatCode="0.00_ "/>
    <numFmt numFmtId="177" formatCode="#,##0.00_ "/>
    <numFmt numFmtId="178" formatCode="0_ "/>
    <numFmt numFmtId="179" formatCode="0.0%"/>
    <numFmt numFmtId="180" formatCode="#,##0.00_);[Red]\(#,##0.00\)"/>
  </numFmts>
  <fonts count="56">
    <font>
      <sz val="11"/>
      <color theme="1"/>
      <name val="宋体"/>
      <charset val="134"/>
      <scheme val="minor"/>
    </font>
    <font>
      <sz val="11"/>
      <color theme="1"/>
      <name val="宋体"/>
      <family val="2"/>
      <charset val="134"/>
      <scheme val="minor"/>
    </font>
    <font>
      <b/>
      <sz val="26"/>
      <color theme="1"/>
      <name val="方正黑体_GBK"/>
      <charset val="134"/>
    </font>
    <font>
      <sz val="15"/>
      <color theme="1"/>
      <name val="宋体"/>
      <family val="3"/>
      <charset val="134"/>
    </font>
    <font>
      <sz val="15"/>
      <color theme="1"/>
      <name val="Calibri"/>
      <family val="2"/>
    </font>
    <font>
      <sz val="15"/>
      <color theme="1"/>
      <name val="Times New Roman"/>
      <family val="1"/>
    </font>
    <font>
      <b/>
      <sz val="12"/>
      <color rgb="FF000000"/>
      <name val="Times New Roman"/>
      <family val="1"/>
    </font>
    <font>
      <b/>
      <sz val="12"/>
      <name val="Times New Roman"/>
      <family val="1"/>
    </font>
    <font>
      <b/>
      <sz val="11"/>
      <color theme="1"/>
      <name val="宋体"/>
      <family val="3"/>
      <charset val="134"/>
      <scheme val="minor"/>
    </font>
    <font>
      <sz val="12"/>
      <name val="Times New Roman"/>
      <family val="1"/>
    </font>
    <font>
      <sz val="12"/>
      <color rgb="FF000000"/>
      <name val="Times New Roman"/>
      <family val="1"/>
    </font>
    <font>
      <b/>
      <sz val="20"/>
      <name val="方正小标宋简体"/>
      <family val="4"/>
      <charset val="134"/>
    </font>
    <font>
      <sz val="12"/>
      <name val="宋体"/>
      <family val="3"/>
      <charset val="134"/>
    </font>
    <font>
      <b/>
      <sz val="12"/>
      <color theme="1"/>
      <name val="Times New Roman"/>
      <family val="1"/>
    </font>
    <font>
      <b/>
      <sz val="12"/>
      <name val="宋体"/>
      <family val="3"/>
      <charset val="134"/>
    </font>
    <font>
      <sz val="12"/>
      <color rgb="FF000000"/>
      <name val="宋体"/>
      <family val="3"/>
      <charset val="134"/>
    </font>
    <font>
      <sz val="11"/>
      <color theme="1"/>
      <name val="仿宋"/>
      <family val="3"/>
      <charset val="134"/>
    </font>
    <font>
      <sz val="11"/>
      <color indexed="8"/>
      <name val="宋体"/>
      <family val="3"/>
      <charset val="134"/>
      <scheme val="minor"/>
    </font>
    <font>
      <sz val="11"/>
      <color indexed="8"/>
      <name val="宋体"/>
      <family val="3"/>
      <charset val="134"/>
    </font>
    <font>
      <sz val="11"/>
      <color rgb="FF000000"/>
      <name val="宋体"/>
      <family val="3"/>
      <charset val="134"/>
      <scheme val="minor"/>
    </font>
    <font>
      <sz val="11"/>
      <name val="仿宋"/>
      <family val="3"/>
      <charset val="134"/>
    </font>
    <font>
      <sz val="11"/>
      <color rgb="FFFF0000"/>
      <name val="宋体"/>
      <family val="3"/>
      <charset val="134"/>
    </font>
    <font>
      <sz val="16"/>
      <name val="Times New Roman"/>
      <family val="1"/>
    </font>
    <font>
      <b/>
      <sz val="10"/>
      <name val="Times New Roman"/>
      <family val="1"/>
    </font>
    <font>
      <b/>
      <sz val="12"/>
      <color indexed="8"/>
      <name val="Times New Roman"/>
      <family val="1"/>
    </font>
    <font>
      <sz val="12"/>
      <color indexed="8"/>
      <name val="Times New Roman"/>
      <family val="1"/>
    </font>
    <font>
      <b/>
      <sz val="12"/>
      <color indexed="8"/>
      <name val="宋体"/>
      <family val="3"/>
      <charset val="134"/>
    </font>
    <font>
      <sz val="16"/>
      <name val="黑体"/>
      <family val="3"/>
      <charset val="134"/>
    </font>
    <font>
      <sz val="10"/>
      <name val="Times New Roman"/>
      <family val="1"/>
    </font>
    <font>
      <sz val="12"/>
      <color theme="1"/>
      <name val="宋体"/>
      <family val="3"/>
      <charset val="134"/>
    </font>
    <font>
      <sz val="16"/>
      <color rgb="FF000000"/>
      <name val="方正楷体简体"/>
      <charset val="134"/>
    </font>
    <font>
      <sz val="12"/>
      <name val="Calibri"/>
      <family val="2"/>
    </font>
    <font>
      <sz val="11"/>
      <color theme="1"/>
      <name val="Tahoma"/>
      <family val="2"/>
    </font>
    <font>
      <sz val="16"/>
      <color theme="1"/>
      <name val="Times New Roman"/>
      <family val="1"/>
    </font>
    <font>
      <sz val="16"/>
      <color theme="1"/>
      <name val="宋体"/>
      <family val="3"/>
      <charset val="134"/>
    </font>
    <font>
      <sz val="12"/>
      <color indexed="8"/>
      <name val="宋体"/>
      <family val="3"/>
      <charset val="134"/>
    </font>
    <font>
      <sz val="16"/>
      <name val="宋体"/>
      <family val="3"/>
      <charset val="134"/>
    </font>
    <font>
      <b/>
      <sz val="9"/>
      <name val="宋体"/>
      <family val="3"/>
      <charset val="134"/>
    </font>
    <font>
      <sz val="9"/>
      <name val="宋体"/>
      <family val="3"/>
      <charset val="134"/>
    </font>
    <font>
      <sz val="11"/>
      <color theme="1"/>
      <name val="宋体"/>
      <family val="3"/>
      <charset val="134"/>
      <scheme val="minor"/>
    </font>
    <font>
      <sz val="9"/>
      <name val="宋体"/>
      <family val="3"/>
      <charset val="134"/>
      <scheme val="minor"/>
    </font>
    <font>
      <b/>
      <sz val="18"/>
      <name val="方正小标宋简体"/>
      <family val="4"/>
      <charset val="134"/>
    </font>
    <font>
      <b/>
      <sz val="10"/>
      <name val="宋体"/>
      <family val="3"/>
      <charset val="134"/>
    </font>
    <font>
      <sz val="10"/>
      <name val="宋体"/>
      <family val="3"/>
      <charset val="134"/>
    </font>
    <font>
      <sz val="10"/>
      <color theme="1"/>
      <name val="宋体"/>
      <family val="3"/>
      <charset val="134"/>
      <scheme val="minor"/>
    </font>
    <font>
      <sz val="10"/>
      <color indexed="8"/>
      <name val="Times New Roman"/>
      <family val="1"/>
    </font>
    <font>
      <sz val="10"/>
      <color indexed="8"/>
      <name val="宋体"/>
      <family val="3"/>
      <charset val="134"/>
    </font>
    <font>
      <b/>
      <sz val="10"/>
      <color indexed="8"/>
      <name val="宋体"/>
      <family val="3"/>
      <charset val="134"/>
    </font>
    <font>
      <b/>
      <sz val="10"/>
      <color theme="1"/>
      <name val="宋体"/>
      <family val="3"/>
      <charset val="134"/>
      <scheme val="minor"/>
    </font>
    <font>
      <b/>
      <sz val="18"/>
      <color theme="1"/>
      <name val="宋体"/>
      <family val="3"/>
      <charset val="134"/>
      <scheme val="minor"/>
    </font>
    <font>
      <sz val="10"/>
      <color indexed="8"/>
      <name val="宋体"/>
      <family val="3"/>
      <charset val="134"/>
      <scheme val="minor"/>
    </font>
    <font>
      <b/>
      <sz val="10"/>
      <color theme="1"/>
      <name val="Times New Roman"/>
      <family val="1"/>
    </font>
    <font>
      <b/>
      <sz val="18"/>
      <name val="宋体"/>
      <family val="3"/>
      <charset val="134"/>
      <scheme val="major"/>
    </font>
    <font>
      <sz val="10"/>
      <color rgb="FF000000"/>
      <name val="Times New Roman"/>
      <family val="1"/>
    </font>
    <font>
      <sz val="10"/>
      <color rgb="FF000000"/>
      <name val="宋体"/>
      <family val="3"/>
      <charset val="134"/>
    </font>
    <font>
      <b/>
      <sz val="18"/>
      <color rgb="FF000000"/>
      <name val="方正小标宋简体"/>
      <family val="4"/>
      <charset val="134"/>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medium">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s>
  <cellStyleXfs count="9">
    <xf numFmtId="0" fontId="0" fillId="0" borderId="0">
      <alignment vertical="center"/>
    </xf>
    <xf numFmtId="0" fontId="32" fillId="0" borderId="0"/>
    <xf numFmtId="0" fontId="39"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43" fontId="12" fillId="0" borderId="0" applyFont="0" applyFill="0" applyBorder="0" applyAlignment="0" applyProtection="0">
      <alignment vertical="center"/>
    </xf>
    <xf numFmtId="0" fontId="1" fillId="0" borderId="0">
      <alignment vertical="center"/>
    </xf>
  </cellStyleXfs>
  <cellXfs count="210">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horizontal="center" vertical="center"/>
    </xf>
    <xf numFmtId="176" fontId="0" fillId="0" borderId="0" xfId="0" applyNumberFormat="1">
      <alignment vertical="center"/>
    </xf>
    <xf numFmtId="0" fontId="0" fillId="0" borderId="0" xfId="0" applyAlignment="1">
      <alignment horizontal="left" vertical="center"/>
    </xf>
    <xf numFmtId="0" fontId="12" fillId="0" borderId="0" xfId="3" applyFont="1" applyFill="1" applyBorder="1" applyAlignment="1"/>
    <xf numFmtId="0" fontId="13" fillId="0" borderId="1" xfId="4" applyFont="1" applyFill="1" applyBorder="1" applyAlignment="1">
      <alignment horizontal="center" vertical="center"/>
    </xf>
    <xf numFmtId="43" fontId="13" fillId="0" borderId="1" xfId="5" applyNumberFormat="1" applyFont="1" applyFill="1" applyBorder="1" applyAlignment="1">
      <alignment horizontal="left" vertical="center"/>
    </xf>
    <xf numFmtId="43" fontId="13" fillId="0" borderId="1" xfId="5" applyNumberFormat="1" applyFont="1" applyFill="1" applyBorder="1" applyAlignment="1">
      <alignment horizontal="center" vertical="center"/>
    </xf>
    <xf numFmtId="43" fontId="7" fillId="0" borderId="1" xfId="5" applyNumberFormat="1" applyFont="1" applyFill="1" applyBorder="1" applyAlignment="1">
      <alignment horizontal="center" vertical="center"/>
    </xf>
    <xf numFmtId="43" fontId="14" fillId="0" borderId="1" xfId="5" applyNumberFormat="1" applyFont="1" applyFill="1" applyBorder="1" applyAlignment="1">
      <alignment horizontal="center" vertical="center"/>
    </xf>
    <xf numFmtId="0" fontId="8" fillId="0" borderId="1" xfId="0" applyFont="1" applyBorder="1" applyAlignment="1">
      <alignment horizontal="center" vertical="center"/>
    </xf>
    <xf numFmtId="0" fontId="9" fillId="0" borderId="1" xfId="4" applyFont="1" applyFill="1" applyBorder="1" applyAlignment="1">
      <alignment horizontal="left" vertical="center"/>
    </xf>
    <xf numFmtId="177" fontId="9" fillId="2" borderId="1" xfId="4" applyNumberFormat="1" applyFont="1" applyFill="1" applyBorder="1" applyAlignment="1">
      <alignment horizontal="left" vertical="center"/>
    </xf>
    <xf numFmtId="177" fontId="9" fillId="0" borderId="1" xfId="4" applyNumberFormat="1" applyFont="1" applyFill="1" applyBorder="1" applyAlignment="1">
      <alignment horizontal="center" vertical="center"/>
    </xf>
    <xf numFmtId="0" fontId="9" fillId="0" borderId="1" xfId="4" applyFont="1" applyBorder="1">
      <alignment vertical="center"/>
    </xf>
    <xf numFmtId="0" fontId="9" fillId="0" borderId="1" xfId="4" applyFont="1" applyFill="1" applyBorder="1" applyAlignment="1">
      <alignment vertical="center"/>
    </xf>
    <xf numFmtId="0" fontId="0" fillId="0" borderId="1" xfId="0" applyBorder="1">
      <alignment vertical="center"/>
    </xf>
    <xf numFmtId="177" fontId="9" fillId="0" borderId="1" xfId="4" applyNumberFormat="1" applyFont="1" applyFill="1" applyBorder="1" applyAlignment="1">
      <alignment horizontal="left" vertical="center"/>
    </xf>
    <xf numFmtId="9" fontId="9" fillId="0" borderId="1" xfId="4" applyNumberFormat="1" applyFont="1" applyFill="1" applyBorder="1" applyAlignment="1">
      <alignment vertical="center"/>
    </xf>
    <xf numFmtId="0" fontId="12" fillId="0" borderId="1" xfId="4" applyFont="1" applyFill="1" applyBorder="1" applyAlignment="1">
      <alignment horizontal="left" vertical="center"/>
    </xf>
    <xf numFmtId="0" fontId="9" fillId="0" borderId="1" xfId="3" applyFont="1" applyFill="1" applyBorder="1" applyAlignment="1">
      <alignment horizontal="left" vertical="center"/>
    </xf>
    <xf numFmtId="10" fontId="9" fillId="0" borderId="1" xfId="4" applyNumberFormat="1" applyFont="1" applyFill="1" applyBorder="1" applyAlignment="1">
      <alignment vertical="center"/>
    </xf>
    <xf numFmtId="0" fontId="0" fillId="0" borderId="1" xfId="0" applyBorder="1" applyAlignment="1">
      <alignment horizontal="left" vertical="center"/>
    </xf>
    <xf numFmtId="0" fontId="13" fillId="0" borderId="1" xfId="3" applyFont="1" applyFill="1" applyBorder="1" applyAlignment="1">
      <alignment horizontal="center" vertical="center" wrapText="1"/>
    </xf>
    <xf numFmtId="0" fontId="9" fillId="0" borderId="1" xfId="4" applyFont="1" applyFill="1" applyBorder="1" applyAlignment="1" applyProtection="1">
      <alignment horizontal="center" vertical="center"/>
    </xf>
    <xf numFmtId="0" fontId="9" fillId="0" borderId="1" xfId="4" applyFont="1" applyFill="1" applyBorder="1" applyAlignment="1">
      <alignment horizontal="center" vertical="center"/>
    </xf>
    <xf numFmtId="0" fontId="10" fillId="0" borderId="1" xfId="4" applyNumberFormat="1" applyFont="1" applyFill="1" applyBorder="1" applyAlignment="1">
      <alignment horizontal="center" vertical="center"/>
    </xf>
    <xf numFmtId="0" fontId="0" fillId="0" borderId="1" xfId="0" applyBorder="1" applyAlignment="1">
      <alignment horizontal="center" vertical="center"/>
    </xf>
    <xf numFmtId="0" fontId="17" fillId="0" borderId="1"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6" applyFont="1" applyBorder="1" applyAlignment="1">
      <alignment horizontal="center" vertical="center" wrapText="1"/>
    </xf>
    <xf numFmtId="0" fontId="21" fillId="0" borderId="1" xfId="1" applyFont="1" applyFill="1" applyBorder="1" applyAlignment="1">
      <alignment horizontal="center" vertical="center" wrapText="1"/>
    </xf>
    <xf numFmtId="0" fontId="0" fillId="0" borderId="0" xfId="0" applyAlignment="1">
      <alignment horizontal="center" vertical="center"/>
    </xf>
    <xf numFmtId="0" fontId="22" fillId="0" borderId="0" xfId="3" applyFont="1" applyFill="1" applyAlignment="1" applyProtection="1">
      <alignment vertical="center" wrapText="1"/>
    </xf>
    <xf numFmtId="0" fontId="12" fillId="0" borderId="0" xfId="3">
      <alignment vertical="center"/>
    </xf>
    <xf numFmtId="0" fontId="14" fillId="0" borderId="6" xfId="3"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14" fillId="0" borderId="6" xfId="3" applyFont="1" applyFill="1" applyBorder="1" applyAlignment="1" applyProtection="1">
      <alignment horizontal="left" vertical="center"/>
    </xf>
    <xf numFmtId="0" fontId="9" fillId="0" borderId="1" xfId="3" applyFont="1" applyFill="1" applyBorder="1" applyAlignment="1" applyProtection="1">
      <alignment horizontal="center" vertical="center" wrapText="1"/>
    </xf>
    <xf numFmtId="0" fontId="9" fillId="0" borderId="6" xfId="3" applyFont="1" applyFill="1" applyBorder="1" applyAlignment="1" applyProtection="1">
      <alignment vertical="center"/>
    </xf>
    <xf numFmtId="0" fontId="24" fillId="0" borderId="1" xfId="4" applyFont="1" applyFill="1" applyBorder="1" applyAlignment="1">
      <alignment horizontal="center" vertical="center" wrapText="1"/>
    </xf>
    <xf numFmtId="178" fontId="9" fillId="0" borderId="1" xfId="4" applyNumberFormat="1" applyFont="1" applyFill="1" applyBorder="1" applyAlignment="1">
      <alignment horizontal="center" vertical="center"/>
    </xf>
    <xf numFmtId="0" fontId="14" fillId="0" borderId="6" xfId="3" applyFont="1" applyFill="1" applyBorder="1" applyAlignment="1" applyProtection="1">
      <alignment vertical="center"/>
    </xf>
    <xf numFmtId="10" fontId="9" fillId="0" borderId="1" xfId="3" applyNumberFormat="1" applyFont="1" applyFill="1" applyBorder="1" applyAlignment="1" applyProtection="1">
      <alignment horizontal="center" vertical="center" wrapText="1"/>
    </xf>
    <xf numFmtId="0" fontId="12" fillId="0" borderId="6" xfId="3" applyFont="1" applyFill="1" applyBorder="1" applyAlignment="1" applyProtection="1">
      <alignment vertical="center"/>
    </xf>
    <xf numFmtId="179" fontId="9" fillId="0" borderId="1" xfId="3" applyNumberFormat="1" applyFont="1" applyFill="1" applyBorder="1" applyAlignment="1" applyProtection="1">
      <alignment horizontal="center" vertical="center" wrapText="1"/>
    </xf>
    <xf numFmtId="177" fontId="9" fillId="0" borderId="1" xfId="3" applyNumberFormat="1" applyFont="1" applyFill="1" applyBorder="1" applyAlignment="1" applyProtection="1">
      <alignment horizontal="center" vertical="center" wrapText="1"/>
    </xf>
    <xf numFmtId="49" fontId="9" fillId="0" borderId="1" xfId="3" applyNumberFormat="1" applyFont="1" applyFill="1" applyBorder="1" applyAlignment="1" applyProtection="1">
      <alignment horizontal="center" vertical="center" wrapText="1"/>
    </xf>
    <xf numFmtId="180" fontId="7" fillId="0" borderId="1" xfId="3" applyNumberFormat="1" applyFont="1" applyFill="1" applyBorder="1" applyAlignment="1" applyProtection="1">
      <alignment horizontal="right" vertical="center" wrapText="1"/>
    </xf>
    <xf numFmtId="180" fontId="9" fillId="0" borderId="1" xfId="3" applyNumberFormat="1" applyFont="1" applyFill="1" applyBorder="1" applyAlignment="1" applyProtection="1">
      <alignment horizontal="right" vertical="center" wrapText="1"/>
    </xf>
    <xf numFmtId="0" fontId="9" fillId="0" borderId="6" xfId="3" applyFont="1" applyFill="1" applyBorder="1" applyAlignment="1" applyProtection="1">
      <alignment horizontal="left" vertical="center"/>
    </xf>
    <xf numFmtId="177" fontId="9" fillId="0" borderId="1" xfId="3" applyNumberFormat="1" applyFont="1" applyFill="1" applyBorder="1" applyAlignment="1" applyProtection="1">
      <alignment horizontal="right" vertical="center" wrapText="1"/>
    </xf>
    <xf numFmtId="0" fontId="8" fillId="0" borderId="0" xfId="0" applyFont="1">
      <alignment vertical="center"/>
    </xf>
    <xf numFmtId="0" fontId="22" fillId="0" borderId="0" xfId="3" applyFont="1">
      <alignment vertical="center"/>
    </xf>
    <xf numFmtId="0" fontId="9" fillId="0" borderId="0" xfId="3" applyFont="1" applyAlignment="1">
      <alignment horizontal="center" vertical="center"/>
    </xf>
    <xf numFmtId="0" fontId="27" fillId="0" borderId="0" xfId="4" applyFont="1" applyFill="1" applyAlignment="1" applyProtection="1">
      <alignment vertical="center" wrapText="1"/>
    </xf>
    <xf numFmtId="0" fontId="12" fillId="0" borderId="0" xfId="4">
      <alignment vertical="center"/>
    </xf>
    <xf numFmtId="0" fontId="28" fillId="0" borderId="5" xfId="4" applyFont="1" applyFill="1" applyBorder="1" applyAlignment="1" applyProtection="1">
      <alignment vertical="center" wrapText="1"/>
    </xf>
    <xf numFmtId="0" fontId="28" fillId="0" borderId="5" xfId="4" applyFont="1" applyFill="1" applyBorder="1" applyAlignment="1" applyProtection="1">
      <alignment horizontal="right" vertical="center" wrapText="1"/>
    </xf>
    <xf numFmtId="0" fontId="14" fillId="0" borderId="1" xfId="4" applyFont="1" applyFill="1" applyBorder="1" applyAlignment="1" applyProtection="1">
      <alignment horizontal="center" vertical="center" wrapText="1"/>
    </xf>
    <xf numFmtId="0" fontId="14" fillId="0" borderId="1" xfId="4" applyFont="1" applyFill="1" applyBorder="1" applyAlignment="1" applyProtection="1">
      <alignment vertical="center" wrapText="1"/>
    </xf>
    <xf numFmtId="180" fontId="12" fillId="0" borderId="1" xfId="4" applyNumberFormat="1" applyFont="1" applyFill="1" applyBorder="1" applyAlignment="1" applyProtection="1">
      <alignment horizontal="right" vertical="center" wrapText="1"/>
    </xf>
    <xf numFmtId="0" fontId="12" fillId="0" borderId="1" xfId="4" applyFont="1" applyFill="1" applyBorder="1" applyAlignment="1" applyProtection="1">
      <alignment horizontal="left" vertical="center" wrapText="1"/>
    </xf>
    <xf numFmtId="180" fontId="14" fillId="0" borderId="1" xfId="4" applyNumberFormat="1" applyFont="1" applyFill="1" applyBorder="1" applyAlignment="1" applyProtection="1">
      <alignment horizontal="right" vertical="center" wrapText="1"/>
    </xf>
    <xf numFmtId="180" fontId="12" fillId="0" borderId="1" xfId="4" applyNumberFormat="1" applyFont="1" applyFill="1" applyBorder="1" applyAlignment="1" applyProtection="1">
      <alignment vertical="center" wrapText="1"/>
    </xf>
    <xf numFmtId="0" fontId="29"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xf>
    <xf numFmtId="180" fontId="12" fillId="0" borderId="1" xfId="4" applyNumberFormat="1" applyFont="1" applyFill="1" applyBorder="1" applyAlignment="1" applyProtection="1">
      <alignment vertical="center"/>
    </xf>
    <xf numFmtId="0" fontId="14" fillId="0" borderId="1" xfId="4" applyFont="1" applyFill="1" applyBorder="1" applyAlignment="1" applyProtection="1">
      <alignment vertical="center"/>
    </xf>
    <xf numFmtId="0" fontId="12" fillId="0" borderId="1" xfId="4" applyFont="1" applyFill="1" applyBorder="1" applyAlignment="1" applyProtection="1">
      <alignment horizontal="right" vertical="center" wrapText="1"/>
    </xf>
    <xf numFmtId="0" fontId="12" fillId="0" borderId="1" xfId="4" applyFont="1" applyFill="1" applyBorder="1" applyAlignment="1" applyProtection="1">
      <alignment horizontal="left" vertical="center" indent="1"/>
    </xf>
    <xf numFmtId="0" fontId="12" fillId="0" borderId="0" xfId="4" applyAlignment="1">
      <alignment horizontal="center" vertical="center"/>
    </xf>
    <xf numFmtId="0" fontId="7" fillId="0" borderId="1" xfId="4" applyFont="1" applyBorder="1" applyAlignment="1">
      <alignment horizontal="center" vertical="center"/>
    </xf>
    <xf numFmtId="0" fontId="25" fillId="0" borderId="1" xfId="4" applyFont="1" applyFill="1" applyBorder="1" applyAlignment="1">
      <alignment horizontal="center" vertical="center" wrapText="1"/>
    </xf>
    <xf numFmtId="0" fontId="9" fillId="0" borderId="1" xfId="4" applyFont="1" applyBorder="1" applyAlignment="1">
      <alignment horizontal="center" vertical="center"/>
    </xf>
    <xf numFmtId="0" fontId="10" fillId="0" borderId="1" xfId="4" applyFont="1" applyFill="1" applyBorder="1" applyAlignment="1">
      <alignment horizontal="center" vertical="center" wrapText="1"/>
    </xf>
    <xf numFmtId="178" fontId="9" fillId="0" borderId="1" xfId="4" applyNumberFormat="1" applyFont="1" applyBorder="1" applyAlignment="1">
      <alignment horizontal="center" vertical="center"/>
    </xf>
    <xf numFmtId="49" fontId="10" fillId="0" borderId="1" xfId="4" applyNumberFormat="1" applyFont="1" applyFill="1" applyBorder="1" applyAlignment="1" applyProtection="1">
      <alignment horizontal="center" vertical="center"/>
    </xf>
    <xf numFmtId="0" fontId="22" fillId="0" borderId="0" xfId="3" applyFont="1" applyBorder="1" applyAlignment="1">
      <alignment horizontal="justify" wrapText="1"/>
    </xf>
    <xf numFmtId="0" fontId="12" fillId="0" borderId="7" xfId="3" applyFont="1" applyBorder="1" applyAlignment="1">
      <alignment horizontal="justify" wrapText="1"/>
    </xf>
    <xf numFmtId="0" fontId="31" fillId="0" borderId="7" xfId="3" applyFont="1" applyBorder="1" applyAlignment="1">
      <alignment horizontal="justify" wrapText="1"/>
    </xf>
    <xf numFmtId="0" fontId="31" fillId="0" borderId="8" xfId="3" applyFont="1" applyBorder="1" applyAlignment="1">
      <alignment horizontal="justify" wrapText="1"/>
    </xf>
    <xf numFmtId="0" fontId="9" fillId="0" borderId="1" xfId="4" applyFont="1" applyBorder="1">
      <alignment vertical="center"/>
    </xf>
    <xf numFmtId="180" fontId="7" fillId="0" borderId="1" xfId="3" applyNumberFormat="1" applyFont="1" applyFill="1" applyBorder="1" applyAlignment="1" applyProtection="1">
      <alignment horizontal="right" vertical="center" wrapText="1"/>
    </xf>
    <xf numFmtId="0" fontId="9" fillId="0" borderId="0" xfId="3" applyFont="1">
      <alignment vertical="center"/>
    </xf>
    <xf numFmtId="0" fontId="9" fillId="0" borderId="1" xfId="3" applyFont="1" applyBorder="1" applyAlignment="1">
      <alignment horizontal="center" vertical="center"/>
    </xf>
    <xf numFmtId="178" fontId="9" fillId="0" borderId="1" xfId="3" applyNumberFormat="1" applyFont="1" applyBorder="1" applyAlignment="1">
      <alignment horizontal="center" vertical="center"/>
    </xf>
    <xf numFmtId="0" fontId="7" fillId="0" borderId="1" xfId="3" applyFont="1" applyBorder="1">
      <alignment vertical="center"/>
    </xf>
    <xf numFmtId="177" fontId="9" fillId="0" borderId="1" xfId="4" applyNumberFormat="1" applyFont="1" applyFill="1" applyBorder="1" applyAlignment="1">
      <alignment horizontal="center" vertical="center"/>
    </xf>
    <xf numFmtId="0" fontId="9" fillId="0" borderId="0" xfId="3" applyFont="1" applyBorder="1" applyAlignment="1">
      <alignment horizontal="center" vertical="center"/>
    </xf>
    <xf numFmtId="178" fontId="9" fillId="0" borderId="0" xfId="3" applyNumberFormat="1" applyFont="1" applyBorder="1" applyAlignment="1">
      <alignment horizontal="center" vertical="center"/>
    </xf>
    <xf numFmtId="0" fontId="9" fillId="0" borderId="0" xfId="3" applyFont="1" applyBorder="1">
      <alignment vertical="center"/>
    </xf>
    <xf numFmtId="0" fontId="13" fillId="0" borderId="0" xfId="3" applyFont="1" applyFill="1" applyBorder="1" applyAlignment="1">
      <alignment horizontal="center" vertical="center" wrapText="1"/>
    </xf>
    <xf numFmtId="0" fontId="0" fillId="0" borderId="11" xfId="0" applyBorder="1">
      <alignment vertical="center"/>
    </xf>
    <xf numFmtId="0" fontId="0" fillId="0" borderId="0" xfId="0" applyBorder="1">
      <alignment vertical="center"/>
    </xf>
    <xf numFmtId="0" fontId="10" fillId="0" borderId="0" xfId="4" applyFont="1" applyBorder="1" applyAlignment="1">
      <alignment horizontal="justify" vertical="center" wrapText="1"/>
    </xf>
    <xf numFmtId="176" fontId="9" fillId="0" borderId="0" xfId="4" applyNumberFormat="1" applyFont="1" applyBorder="1" applyAlignment="1">
      <alignment vertical="center" wrapText="1"/>
    </xf>
    <xf numFmtId="0" fontId="6" fillId="0" borderId="0" xfId="4" applyFont="1" applyBorder="1" applyAlignment="1">
      <alignment horizontal="justify" vertical="center" wrapText="1"/>
    </xf>
    <xf numFmtId="0" fontId="15" fillId="0" borderId="0" xfId="4" applyFont="1" applyBorder="1" applyAlignment="1">
      <alignment horizontal="justify" vertical="center" wrapText="1"/>
    </xf>
    <xf numFmtId="0" fontId="9" fillId="0" borderId="1" xfId="3" applyFont="1" applyFill="1" applyBorder="1" applyAlignment="1" applyProtection="1">
      <alignment vertical="center"/>
    </xf>
    <xf numFmtId="0" fontId="6" fillId="0" borderId="1" xfId="4" applyFont="1" applyBorder="1" applyAlignment="1">
      <alignment horizontal="center" vertical="center" wrapText="1"/>
    </xf>
    <xf numFmtId="176" fontId="7" fillId="0" borderId="1" xfId="4" applyNumberFormat="1" applyFont="1" applyBorder="1" applyAlignment="1">
      <alignment horizontal="center" vertical="center" wrapText="1"/>
    </xf>
    <xf numFmtId="0" fontId="7" fillId="0" borderId="1" xfId="4" applyFont="1" applyFill="1" applyBorder="1" applyAlignment="1" applyProtection="1">
      <alignment vertical="center" wrapText="1"/>
    </xf>
    <xf numFmtId="176" fontId="8" fillId="2" borderId="1" xfId="2" applyNumberFormat="1" applyFont="1" applyFill="1" applyBorder="1">
      <alignment vertical="center"/>
    </xf>
    <xf numFmtId="0" fontId="7" fillId="0" borderId="1" xfId="4" applyFont="1" applyFill="1" applyBorder="1" applyAlignment="1" applyProtection="1">
      <alignment horizontal="left" vertical="center" wrapText="1"/>
    </xf>
    <xf numFmtId="176" fontId="9" fillId="3" borderId="1" xfId="4" applyNumberFormat="1" applyFont="1" applyFill="1" applyBorder="1" applyAlignment="1">
      <alignment vertical="center" wrapText="1"/>
    </xf>
    <xf numFmtId="0" fontId="10" fillId="0" borderId="1" xfId="4" applyFont="1" applyBorder="1" applyAlignment="1">
      <alignment horizontal="justify" vertical="center" wrapText="1"/>
    </xf>
    <xf numFmtId="176" fontId="9" fillId="0" borderId="1" xfId="4" applyNumberFormat="1" applyFont="1" applyBorder="1" applyAlignment="1">
      <alignment vertical="center" wrapText="1"/>
    </xf>
    <xf numFmtId="0" fontId="6" fillId="0" borderId="1" xfId="4" applyFont="1" applyBorder="1" applyAlignment="1">
      <alignment horizontal="justify" vertical="center" wrapText="1"/>
    </xf>
    <xf numFmtId="0" fontId="16" fillId="4" borderId="1" xfId="2" applyFont="1" applyFill="1" applyBorder="1" applyAlignment="1">
      <alignment horizontal="center" vertical="center" wrapText="1"/>
    </xf>
    <xf numFmtId="0" fontId="39" fillId="0" borderId="0" xfId="0" applyFont="1">
      <alignment vertical="center"/>
    </xf>
    <xf numFmtId="0" fontId="11" fillId="0" borderId="0" xfId="3" applyFont="1" applyFill="1" applyAlignment="1" applyProtection="1">
      <alignment horizontal="center" vertical="center"/>
    </xf>
    <xf numFmtId="0" fontId="30" fillId="0" borderId="0" xfId="3" applyFont="1" applyAlignment="1">
      <alignment horizontal="center" vertical="center" wrapText="1"/>
    </xf>
    <xf numFmtId="0" fontId="11" fillId="0" borderId="0" xfId="4" applyFont="1" applyFill="1" applyAlignment="1" applyProtection="1">
      <alignment horizontal="center" vertical="center"/>
    </xf>
    <xf numFmtId="0" fontId="9" fillId="0" borderId="2" xfId="4" applyFont="1" applyBorder="1" applyAlignment="1">
      <alignment horizontal="center" vertical="center" wrapText="1"/>
    </xf>
    <xf numFmtId="0" fontId="9" fillId="0" borderId="3" xfId="4" applyFont="1" applyBorder="1" applyAlignment="1">
      <alignment horizontal="center" vertical="center" wrapText="1"/>
    </xf>
    <xf numFmtId="0" fontId="9" fillId="0" borderId="4" xfId="4" applyFont="1" applyBorder="1" applyAlignment="1">
      <alignment horizontal="center" vertical="center" wrapText="1"/>
    </xf>
    <xf numFmtId="0" fontId="9" fillId="0" borderId="1" xfId="4" applyFont="1" applyBorder="1" applyAlignment="1">
      <alignment horizontal="center" vertical="center" wrapText="1"/>
    </xf>
    <xf numFmtId="0" fontId="23" fillId="0" borderId="5" xfId="3" applyFont="1" applyFill="1" applyBorder="1" applyAlignment="1" applyProtection="1">
      <alignment horizontal="left" vertical="center" wrapText="1"/>
    </xf>
    <xf numFmtId="180" fontId="9" fillId="0" borderId="1" xfId="3" applyNumberFormat="1" applyFont="1" applyFill="1" applyBorder="1" applyAlignment="1" applyProtection="1">
      <alignment horizontal="center" vertical="center" wrapText="1"/>
    </xf>
    <xf numFmtId="0" fontId="16" fillId="4" borderId="1" xfId="2" applyFont="1" applyFill="1" applyBorder="1" applyAlignment="1">
      <alignment horizontal="center" vertical="center" wrapText="1"/>
    </xf>
    <xf numFmtId="0" fontId="11" fillId="0" borderId="0" xfId="3" applyFont="1" applyFill="1" applyBorder="1" applyAlignment="1">
      <alignment horizontal="center" vertical="center"/>
    </xf>
    <xf numFmtId="0" fontId="11" fillId="0" borderId="0" xfId="3" applyFont="1" applyFill="1" applyBorder="1" applyAlignment="1">
      <alignment horizontal="left" vertical="center"/>
    </xf>
    <xf numFmtId="0" fontId="24" fillId="0" borderId="1" xfId="4" applyFont="1" applyFill="1" applyBorder="1" applyAlignment="1">
      <alignment horizontal="left" vertical="center" wrapText="1"/>
    </xf>
    <xf numFmtId="0" fontId="25" fillId="0" borderId="1" xfId="4" applyFont="1" applyFill="1" applyBorder="1" applyAlignment="1">
      <alignment horizontal="left" vertical="center" wrapText="1"/>
    </xf>
    <xf numFmtId="0" fontId="10" fillId="0" borderId="1" xfId="4" applyFont="1" applyFill="1" applyBorder="1" applyAlignment="1">
      <alignment horizontal="left" vertical="center" wrapText="1"/>
    </xf>
    <xf numFmtId="0" fontId="7" fillId="0" borderId="1" xfId="4" applyFont="1" applyBorder="1" applyAlignment="1">
      <alignment horizontal="left" vertical="center"/>
    </xf>
    <xf numFmtId="0" fontId="13" fillId="0" borderId="1" xfId="4" applyFont="1" applyFill="1" applyBorder="1" applyAlignment="1">
      <alignment horizontal="left" vertical="center"/>
    </xf>
    <xf numFmtId="0" fontId="9" fillId="0" borderId="1" xfId="4" applyFont="1" applyFill="1" applyBorder="1" applyAlignment="1" applyProtection="1">
      <alignment horizontal="left" vertical="center"/>
    </xf>
    <xf numFmtId="177" fontId="10" fillId="0" borderId="1" xfId="4" applyNumberFormat="1" applyFont="1" applyFill="1" applyBorder="1" applyAlignment="1">
      <alignment horizontal="left" vertical="center"/>
    </xf>
    <xf numFmtId="177" fontId="15" fillId="0" borderId="1" xfId="4" applyNumberFormat="1" applyFont="1" applyFill="1" applyBorder="1" applyAlignment="1">
      <alignment horizontal="left" vertical="center"/>
    </xf>
    <xf numFmtId="0" fontId="9" fillId="0" borderId="1" xfId="4" applyFont="1" applyBorder="1" applyAlignment="1">
      <alignment horizontal="left" vertical="center"/>
    </xf>
    <xf numFmtId="49" fontId="10" fillId="0" borderId="1" xfId="4" applyNumberFormat="1" applyFont="1" applyFill="1" applyBorder="1" applyAlignment="1" applyProtection="1">
      <alignment horizontal="left" vertical="center"/>
    </xf>
    <xf numFmtId="0" fontId="14" fillId="0" borderId="5" xfId="4" applyFont="1" applyFill="1" applyBorder="1" applyAlignment="1" applyProtection="1">
      <alignment horizontal="left" vertical="center"/>
    </xf>
    <xf numFmtId="0" fontId="7" fillId="0" borderId="5" xfId="4" applyFont="1" applyFill="1" applyBorder="1" applyAlignment="1" applyProtection="1">
      <alignment horizontal="left" vertical="center"/>
    </xf>
    <xf numFmtId="0" fontId="22" fillId="0" borderId="0" xfId="4" applyFont="1" applyAlignment="1">
      <alignment horizontal="left" vertical="center"/>
    </xf>
    <xf numFmtId="0" fontId="41" fillId="0" borderId="0" xfId="4" applyFont="1" applyFill="1" applyAlignment="1" applyProtection="1">
      <alignment horizontal="center" vertical="center" wrapText="1"/>
    </xf>
    <xf numFmtId="0" fontId="41" fillId="0" borderId="0" xfId="3" applyFont="1" applyFill="1" applyAlignment="1" applyProtection="1">
      <alignment horizontal="center" vertical="center" wrapText="1"/>
    </xf>
    <xf numFmtId="0" fontId="23" fillId="4" borderId="1" xfId="3" applyFont="1" applyFill="1" applyBorder="1" applyAlignment="1" applyProtection="1">
      <alignment horizontal="center" vertical="center"/>
    </xf>
    <xf numFmtId="0" fontId="23" fillId="0" borderId="1" xfId="3" applyFont="1" applyFill="1" applyBorder="1" applyAlignment="1" applyProtection="1">
      <alignment horizontal="center" vertical="center"/>
    </xf>
    <xf numFmtId="0" fontId="42" fillId="4" borderId="1" xfId="3" applyFont="1" applyFill="1" applyBorder="1" applyAlignment="1" applyProtection="1">
      <alignment vertical="center"/>
    </xf>
    <xf numFmtId="0" fontId="23" fillId="0" borderId="1" xfId="3" applyFont="1" applyFill="1" applyBorder="1">
      <alignment vertical="center"/>
    </xf>
    <xf numFmtId="176" fontId="23" fillId="0" borderId="1" xfId="3" applyNumberFormat="1" applyFont="1" applyFill="1" applyBorder="1">
      <alignment vertical="center"/>
    </xf>
    <xf numFmtId="0" fontId="28" fillId="4" borderId="1" xfId="3" applyFont="1" applyFill="1" applyBorder="1" applyAlignment="1" applyProtection="1">
      <alignment horizontal="left" vertical="center" indent="1"/>
    </xf>
    <xf numFmtId="0" fontId="28" fillId="4" borderId="1" xfId="3" applyFont="1" applyFill="1" applyBorder="1">
      <alignment vertical="center"/>
    </xf>
    <xf numFmtId="176" fontId="28" fillId="4" borderId="1" xfId="3" applyNumberFormat="1" applyFont="1" applyFill="1" applyBorder="1">
      <alignment vertical="center"/>
    </xf>
    <xf numFmtId="0" fontId="28" fillId="0" borderId="1" xfId="3" applyFont="1" applyFill="1" applyBorder="1">
      <alignment vertical="center"/>
    </xf>
    <xf numFmtId="0" fontId="44" fillId="4" borderId="0" xfId="0" applyFont="1" applyFill="1">
      <alignment vertical="center"/>
    </xf>
    <xf numFmtId="176" fontId="28" fillId="0" borderId="1" xfId="3" applyNumberFormat="1" applyFont="1" applyFill="1" applyBorder="1">
      <alignment vertical="center"/>
    </xf>
    <xf numFmtId="0" fontId="44" fillId="4" borderId="1" xfId="0" applyFont="1" applyFill="1" applyBorder="1">
      <alignment vertical="center"/>
    </xf>
    <xf numFmtId="49" fontId="45" fillId="4" borderId="1" xfId="3" applyNumberFormat="1" applyFont="1" applyFill="1" applyBorder="1" applyAlignment="1" applyProtection="1">
      <alignment horizontal="left" vertical="center"/>
    </xf>
    <xf numFmtId="49" fontId="45" fillId="2" borderId="1" xfId="3" applyNumberFormat="1" applyFont="1" applyFill="1" applyBorder="1" applyAlignment="1" applyProtection="1">
      <alignment horizontal="left" vertical="center"/>
    </xf>
    <xf numFmtId="0" fontId="42" fillId="4" borderId="1" xfId="3" applyFont="1" applyFill="1" applyBorder="1" applyAlignment="1" applyProtection="1">
      <alignment horizontal="left" vertical="center" wrapText="1"/>
    </xf>
    <xf numFmtId="0" fontId="28" fillId="0" borderId="1" xfId="3" applyNumberFormat="1" applyFont="1" applyFill="1" applyBorder="1">
      <alignment vertical="center"/>
    </xf>
    <xf numFmtId="0" fontId="42" fillId="4" borderId="1" xfId="3" applyFont="1" applyFill="1" applyBorder="1">
      <alignment vertical="center"/>
    </xf>
    <xf numFmtId="0" fontId="48" fillId="0" borderId="1" xfId="0" applyFont="1" applyBorder="1">
      <alignment vertical="center"/>
    </xf>
    <xf numFmtId="0" fontId="44" fillId="0" borderId="0" xfId="0" applyFont="1">
      <alignment vertical="center"/>
    </xf>
    <xf numFmtId="0" fontId="41" fillId="0" borderId="0" xfId="3" applyFont="1" applyAlignment="1">
      <alignment horizontal="center" vertical="center"/>
    </xf>
    <xf numFmtId="0" fontId="28" fillId="4" borderId="1" xfId="3" applyFont="1" applyFill="1" applyBorder="1" applyAlignment="1" applyProtection="1">
      <alignment horizontal="left" vertical="center" wrapText="1" indent="1"/>
    </xf>
    <xf numFmtId="49" fontId="47" fillId="4" borderId="1" xfId="3" applyNumberFormat="1" applyFont="1" applyFill="1" applyBorder="1" applyAlignment="1" applyProtection="1">
      <alignment horizontal="left" vertical="center" wrapText="1"/>
    </xf>
    <xf numFmtId="0" fontId="49" fillId="4" borderId="0" xfId="2" applyFont="1" applyFill="1" applyBorder="1" applyAlignment="1">
      <alignment horizontal="center" vertical="center"/>
    </xf>
    <xf numFmtId="0" fontId="28" fillId="0" borderId="6" xfId="3" applyFont="1" applyBorder="1" applyAlignment="1">
      <alignment horizontal="center" vertical="center" wrapText="1"/>
    </xf>
    <xf numFmtId="0" fontId="28" fillId="0" borderId="9" xfId="3" applyFont="1" applyBorder="1" applyAlignment="1">
      <alignment horizontal="center" vertical="center" wrapText="1"/>
    </xf>
    <xf numFmtId="0" fontId="28" fillId="0" borderId="10" xfId="3" applyFont="1" applyBorder="1" applyAlignment="1">
      <alignment horizontal="center" vertical="center" wrapText="1"/>
    </xf>
    <xf numFmtId="0" fontId="50" fillId="0" borderId="1" xfId="1" applyFont="1" applyFill="1" applyBorder="1" applyAlignment="1">
      <alignment horizontal="center" vertical="center" wrapText="1"/>
    </xf>
    <xf numFmtId="0" fontId="28" fillId="0" borderId="1" xfId="3" applyFont="1" applyBorder="1" applyAlignment="1">
      <alignment horizontal="center" vertical="center"/>
    </xf>
    <xf numFmtId="0" fontId="0" fillId="0" borderId="1" xfId="0" applyBorder="1" applyAlignment="1">
      <alignment horizontal="center" vertical="center" wrapText="1"/>
    </xf>
    <xf numFmtId="0" fontId="9" fillId="0" borderId="1" xfId="3" applyFont="1" applyBorder="1" applyAlignment="1">
      <alignment horizontal="center" vertical="center" wrapText="1"/>
    </xf>
    <xf numFmtId="0" fontId="0"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3" fillId="0" borderId="1" xfId="3" applyFont="1" applyBorder="1" applyAlignment="1">
      <alignment horizontal="center" vertical="center" wrapText="1"/>
    </xf>
    <xf numFmtId="0" fontId="28" fillId="0" borderId="1" xfId="3" applyFont="1" applyBorder="1" applyAlignment="1">
      <alignment horizontal="center" vertical="center" wrapText="1"/>
    </xf>
    <xf numFmtId="178" fontId="28" fillId="0" borderId="1" xfId="3" applyNumberFormat="1" applyFont="1" applyBorder="1" applyAlignment="1">
      <alignment vertical="center" wrapText="1"/>
    </xf>
    <xf numFmtId="0" fontId="43" fillId="0" borderId="1" xfId="3" applyFont="1" applyBorder="1" applyAlignment="1">
      <alignment vertical="center" wrapText="1"/>
    </xf>
    <xf numFmtId="0" fontId="44" fillId="0" borderId="1" xfId="0" applyFont="1" applyBorder="1" applyAlignment="1">
      <alignment vertical="center" wrapText="1"/>
    </xf>
    <xf numFmtId="0" fontId="9" fillId="0" borderId="0" xfId="3" applyFont="1" applyBorder="1" applyAlignment="1">
      <alignment horizontal="center" vertical="center" wrapText="1"/>
    </xf>
    <xf numFmtId="0" fontId="0" fillId="0" borderId="1" xfId="0" applyBorder="1" applyAlignment="1">
      <alignment horizontal="center" vertical="center" wrapText="1"/>
    </xf>
    <xf numFmtId="178" fontId="9" fillId="0" borderId="0" xfId="3" applyNumberFormat="1" applyFont="1" applyBorder="1" applyAlignment="1">
      <alignment horizontal="center" vertical="center" wrapText="1"/>
    </xf>
    <xf numFmtId="0" fontId="51" fillId="0" borderId="1" xfId="3" applyFont="1" applyFill="1" applyBorder="1" applyAlignment="1">
      <alignment horizontal="center" vertical="center" wrapText="1"/>
    </xf>
    <xf numFmtId="0" fontId="48" fillId="4" borderId="1" xfId="2" applyFont="1" applyFill="1" applyBorder="1" applyAlignment="1">
      <alignment horizontal="center" vertical="center" wrapText="1"/>
    </xf>
    <xf numFmtId="178" fontId="28" fillId="0" borderId="1" xfId="3" applyNumberFormat="1" applyFont="1" applyBorder="1" applyAlignment="1">
      <alignment horizontal="center" vertical="center" wrapText="1"/>
    </xf>
    <xf numFmtId="0" fontId="52" fillId="0" borderId="0" xfId="3" applyFont="1" applyAlignment="1">
      <alignment horizontal="center" vertical="center"/>
    </xf>
    <xf numFmtId="0" fontId="51" fillId="4" borderId="1" xfId="3" applyFont="1" applyFill="1" applyBorder="1" applyAlignment="1">
      <alignment horizontal="center" vertical="center"/>
    </xf>
    <xf numFmtId="0" fontId="51" fillId="0" borderId="2" xfId="3" applyFont="1" applyFill="1" applyBorder="1" applyAlignment="1">
      <alignment horizontal="center" vertical="center" wrapText="1"/>
    </xf>
    <xf numFmtId="0" fontId="28" fillId="0" borderId="0" xfId="3" applyFont="1" applyFill="1">
      <alignment vertical="center"/>
    </xf>
    <xf numFmtId="0" fontId="43" fillId="4" borderId="1" xfId="3" applyFont="1" applyFill="1" applyBorder="1" applyAlignment="1" applyProtection="1">
      <alignment horizontal="left" vertical="center"/>
    </xf>
    <xf numFmtId="178" fontId="28" fillId="0" borderId="1" xfId="3" applyNumberFormat="1" applyFont="1" applyBorder="1" applyAlignment="1">
      <alignment horizontal="center" vertical="center"/>
    </xf>
    <xf numFmtId="178" fontId="28" fillId="0" borderId="1" xfId="3" applyNumberFormat="1" applyFont="1" applyFill="1" applyBorder="1" applyAlignment="1">
      <alignment horizontal="center" vertical="center"/>
    </xf>
    <xf numFmtId="0" fontId="28" fillId="0" borderId="1" xfId="3" applyFont="1" applyFill="1" applyBorder="1" applyAlignment="1">
      <alignment horizontal="center" vertical="center"/>
    </xf>
    <xf numFmtId="0" fontId="28" fillId="4" borderId="1" xfId="3" applyFont="1" applyFill="1" applyBorder="1" applyAlignment="1" applyProtection="1">
      <alignment horizontal="left" vertical="center" indent="2"/>
    </xf>
    <xf numFmtId="177" fontId="53" fillId="4" borderId="1" xfId="3" applyNumberFormat="1" applyFont="1" applyFill="1" applyBorder="1" applyAlignment="1">
      <alignment horizontal="left" vertical="center"/>
    </xf>
    <xf numFmtId="177" fontId="54" fillId="4" borderId="1" xfId="3" applyNumberFormat="1" applyFont="1" applyFill="1" applyBorder="1" applyAlignment="1">
      <alignment horizontal="left" vertical="center"/>
    </xf>
    <xf numFmtId="0" fontId="28" fillId="0" borderId="2" xfId="3" applyFont="1" applyFill="1" applyBorder="1" applyAlignment="1">
      <alignment horizontal="center" vertical="center"/>
    </xf>
    <xf numFmtId="178" fontId="28" fillId="0" borderId="1" xfId="3" applyNumberFormat="1" applyFont="1" applyFill="1" applyBorder="1" applyAlignment="1">
      <alignment horizontal="center" vertical="center"/>
    </xf>
    <xf numFmtId="0" fontId="28" fillId="0" borderId="1" xfId="3" applyFont="1" applyFill="1" applyBorder="1" applyAlignment="1">
      <alignment horizontal="center" vertical="center"/>
    </xf>
    <xf numFmtId="0" fontId="28" fillId="0" borderId="2" xfId="3" applyFont="1" applyFill="1" applyBorder="1" applyAlignment="1">
      <alignment horizontal="center" vertical="center"/>
    </xf>
    <xf numFmtId="0" fontId="28" fillId="0" borderId="3" xfId="3" applyFont="1" applyFill="1" applyBorder="1" applyAlignment="1">
      <alignment horizontal="center" vertical="center"/>
    </xf>
    <xf numFmtId="0" fontId="28" fillId="0" borderId="4" xfId="3" applyFont="1" applyFill="1" applyBorder="1" applyAlignment="1">
      <alignment horizontal="center" vertical="center"/>
    </xf>
    <xf numFmtId="0" fontId="28" fillId="0" borderId="1" xfId="3" applyFont="1" applyBorder="1">
      <alignment vertical="center"/>
    </xf>
    <xf numFmtId="0" fontId="28" fillId="0" borderId="1" xfId="4" applyFont="1" applyFill="1" applyBorder="1" applyAlignment="1" applyProtection="1">
      <alignment horizontal="center" vertical="center"/>
    </xf>
    <xf numFmtId="0" fontId="28" fillId="0" borderId="1" xfId="4" applyFont="1" applyFill="1" applyBorder="1" applyAlignment="1">
      <alignment horizontal="center" vertical="center"/>
    </xf>
    <xf numFmtId="0" fontId="53" fillId="0" borderId="1" xfId="4" applyNumberFormat="1" applyFont="1" applyFill="1" applyBorder="1" applyAlignment="1">
      <alignment horizontal="center" vertical="center"/>
    </xf>
    <xf numFmtId="0" fontId="55" fillId="0" borderId="0" xfId="4" applyFont="1" applyAlignment="1">
      <alignment horizontal="center" vertical="center" wrapText="1"/>
    </xf>
    <xf numFmtId="176" fontId="55" fillId="0" borderId="0" xfId="4" applyNumberFormat="1" applyFont="1" applyAlignment="1">
      <alignment horizontal="center" vertical="center" wrapText="1"/>
    </xf>
    <xf numFmtId="176" fontId="9" fillId="0" borderId="0" xfId="4" applyNumberFormat="1" applyFont="1" applyFill="1" applyBorder="1" applyAlignment="1">
      <alignment vertical="center" wrapText="1"/>
    </xf>
  </cellXfs>
  <cellStyles count="9">
    <cellStyle name="常规" xfId="0" builtinId="0"/>
    <cellStyle name="常规 10" xfId="2"/>
    <cellStyle name="常规 12 5" xfId="6"/>
    <cellStyle name="常规 2" xfId="3"/>
    <cellStyle name="常规 3" xfId="4"/>
    <cellStyle name="常规 37" xfId="1"/>
    <cellStyle name="常规 4" xfId="8"/>
    <cellStyle name="千位分隔 2" xfId="5"/>
    <cellStyle name="千位分隔 3" xfId="7"/>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WeChat%20Files/wxid_9yi1ddors8e422/FileStorage/MsgAttach/fa3938c76c24ca99eaa99e9a20f1da6c/File/2022-07/&#25913;%20&#27665;&#21150;&#25945;&#32946;&#22522;&#30784;&#34920;&#26684;(1)(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基本情况表"/>
      <sheetName val="收入情况表"/>
      <sheetName val="教育成本归集表"/>
      <sheetName val="教育培养成本核定表"/>
      <sheetName val="学生人数核定表"/>
      <sheetName val="教职工人数核定表"/>
      <sheetName val="薪酬核定表"/>
      <sheetName val="固定资产折旧计算表"/>
      <sheetName val="承若书"/>
    </sheetNames>
    <sheetDataSet>
      <sheetData sheetId="0"/>
      <sheetData sheetId="1"/>
      <sheetData sheetId="2"/>
      <sheetData sheetId="3"/>
      <sheetData sheetId="4"/>
      <sheetData sheetId="5"/>
      <sheetData sheetId="6"/>
      <sheetData sheetId="7"/>
      <sheetData sheetId="8">
        <row r="4">
          <cell r="B4">
            <v>246876931</v>
          </cell>
          <cell r="E4">
            <v>3528664.7285714298</v>
          </cell>
        </row>
        <row r="9">
          <cell r="B9">
            <v>6278044</v>
          </cell>
          <cell r="E9">
            <v>925422.53333333298</v>
          </cell>
        </row>
        <row r="21">
          <cell r="B21">
            <v>2294601</v>
          </cell>
          <cell r="E21">
            <v>458920.2</v>
          </cell>
        </row>
        <row r="28">
          <cell r="B28">
            <v>2550424</v>
          </cell>
          <cell r="E28">
            <v>38060.800000000003</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10"/>
  <sheetViews>
    <sheetView workbookViewId="0">
      <selection activeCell="I10" sqref="I10"/>
    </sheetView>
  </sheetViews>
  <sheetFormatPr defaultColWidth="9" defaultRowHeight="14.4"/>
  <cols>
    <col min="1" max="1" width="27.109375" customWidth="1"/>
    <col min="2" max="2" width="35.77734375" customWidth="1"/>
  </cols>
  <sheetData>
    <row r="1" spans="1:2" ht="26.4">
      <c r="A1" s="116" t="s">
        <v>0</v>
      </c>
      <c r="B1" s="116"/>
    </row>
    <row r="2" spans="1:2" ht="20.399999999999999">
      <c r="A2" s="117" t="s">
        <v>1</v>
      </c>
      <c r="B2" s="117"/>
    </row>
    <row r="3" spans="1:2" ht="21.6">
      <c r="A3" s="83" t="s">
        <v>2</v>
      </c>
      <c r="B3" s="84" t="s">
        <v>3</v>
      </c>
    </row>
    <row r="4" spans="1:2" ht="20.399999999999999">
      <c r="A4" s="83" t="s">
        <v>4</v>
      </c>
      <c r="B4" s="84" t="s">
        <v>5</v>
      </c>
    </row>
    <row r="5" spans="1:2" ht="20.399999999999999">
      <c r="A5" s="83" t="s">
        <v>6</v>
      </c>
      <c r="B5" s="84" t="s">
        <v>7</v>
      </c>
    </row>
    <row r="6" spans="1:2" ht="21.6">
      <c r="A6" s="83" t="s">
        <v>8</v>
      </c>
      <c r="B6" s="84" t="s">
        <v>9</v>
      </c>
    </row>
    <row r="7" spans="1:2" ht="20.399999999999999">
      <c r="A7" s="83" t="s">
        <v>10</v>
      </c>
      <c r="B7" s="84" t="s">
        <v>11</v>
      </c>
    </row>
    <row r="8" spans="1:2" ht="20.399999999999999">
      <c r="A8" s="83" t="s">
        <v>12</v>
      </c>
      <c r="B8" s="85">
        <v>426181</v>
      </c>
    </row>
    <row r="9" spans="1:2" ht="42" customHeight="1">
      <c r="A9" s="83" t="s">
        <v>13</v>
      </c>
      <c r="B9" s="85">
        <v>17769299921</v>
      </c>
    </row>
    <row r="10" spans="1:2" ht="45.75" customHeight="1">
      <c r="A10" s="83" t="s">
        <v>14</v>
      </c>
      <c r="B10" s="86" t="s">
        <v>15</v>
      </c>
    </row>
  </sheetData>
  <mergeCells count="2">
    <mergeCell ref="A1:B1"/>
    <mergeCell ref="A2:B2"/>
  </mergeCells>
  <phoneticPr fontId="40" type="noConversion"/>
  <pageMargins left="1.4791666666666701" right="0.69930555555555596" top="1.45" bottom="0.75" header="0.25" footer="0.3"/>
  <pageSetup paperSize="9" orientation="portrait" r:id="rId1"/>
</worksheet>
</file>

<file path=xl/worksheets/sheet10.xml><?xml version="1.0" encoding="utf-8"?>
<worksheet xmlns="http://schemas.openxmlformats.org/spreadsheetml/2006/main" xmlns:r="http://schemas.openxmlformats.org/officeDocument/2006/relationships">
  <dimension ref="A1:A13"/>
  <sheetViews>
    <sheetView workbookViewId="0">
      <selection activeCell="H10" sqref="H10"/>
    </sheetView>
  </sheetViews>
  <sheetFormatPr defaultColWidth="9" defaultRowHeight="14.4"/>
  <cols>
    <col min="1" max="1" width="83.6640625" customWidth="1"/>
  </cols>
  <sheetData>
    <row r="1" spans="1:1" ht="74.25" customHeight="1">
      <c r="A1" s="1" t="s">
        <v>192</v>
      </c>
    </row>
    <row r="2" spans="1:1" ht="58.8">
      <c r="A2" s="2" t="s">
        <v>193</v>
      </c>
    </row>
    <row r="3" spans="1:1" ht="19.2">
      <c r="A3" s="2" t="s">
        <v>194</v>
      </c>
    </row>
    <row r="4" spans="1:1" ht="38.4">
      <c r="A4" s="2" t="s">
        <v>195</v>
      </c>
    </row>
    <row r="5" spans="1:1" ht="19.8">
      <c r="A5" s="3"/>
    </row>
    <row r="9" spans="1:1" ht="19.2">
      <c r="A9" s="4"/>
    </row>
    <row r="10" spans="1:1" ht="19.2">
      <c r="A10" s="4"/>
    </row>
    <row r="11" spans="1:1" ht="36.75" customHeight="1">
      <c r="A11" s="4" t="s">
        <v>196</v>
      </c>
    </row>
    <row r="12" spans="1:1" ht="32.25" customHeight="1">
      <c r="A12" s="2" t="s">
        <v>197</v>
      </c>
    </row>
    <row r="13" spans="1:1" ht="55.5" customHeight="1">
      <c r="A13" s="5" t="s">
        <v>198</v>
      </c>
    </row>
  </sheetData>
  <phoneticPr fontId="40" type="noConversion"/>
  <pageMargins left="0.70763888888888904" right="0.70763888888888904" top="1.53541666666667" bottom="0.74791666666666701"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dimension ref="A1:I34"/>
  <sheetViews>
    <sheetView topLeftCell="A25" workbookViewId="0">
      <selection activeCell="A4" sqref="A4"/>
    </sheetView>
  </sheetViews>
  <sheetFormatPr defaultColWidth="9" defaultRowHeight="14.4"/>
  <cols>
    <col min="1" max="1" width="28.77734375" style="37" customWidth="1"/>
    <col min="2" max="2" width="17" style="37" customWidth="1"/>
    <col min="3" max="3" width="15.33203125" style="37" customWidth="1"/>
    <col min="4" max="4" width="14.33203125" style="37" customWidth="1"/>
    <col min="5" max="5" width="11.109375" style="37" customWidth="1"/>
    <col min="8" max="9" width="12.6640625"/>
  </cols>
  <sheetData>
    <row r="1" spans="1:9" ht="21">
      <c r="A1" s="140" t="s">
        <v>16</v>
      </c>
      <c r="B1" s="76"/>
      <c r="C1" s="76"/>
    </row>
    <row r="2" spans="1:9" ht="26.4">
      <c r="A2" s="118" t="s">
        <v>212</v>
      </c>
      <c r="B2" s="118"/>
      <c r="C2" s="118"/>
      <c r="D2" s="118"/>
      <c r="E2" s="118"/>
    </row>
    <row r="3" spans="1:9" ht="15.6">
      <c r="A3" s="138" t="s">
        <v>17</v>
      </c>
      <c r="B3" s="139"/>
      <c r="C3" s="139"/>
    </row>
    <row r="4" spans="1:9" ht="28.8" customHeight="1">
      <c r="A4" s="45" t="s">
        <v>18</v>
      </c>
      <c r="B4" s="45" t="s">
        <v>19</v>
      </c>
      <c r="C4" s="77" t="s">
        <v>20</v>
      </c>
      <c r="D4" s="77" t="s">
        <v>21</v>
      </c>
      <c r="E4" s="77" t="s">
        <v>22</v>
      </c>
    </row>
    <row r="5" spans="1:9" ht="25.8" customHeight="1">
      <c r="A5" s="128" t="s">
        <v>23</v>
      </c>
      <c r="B5" s="45">
        <f>B6+B7+B8</f>
        <v>77</v>
      </c>
      <c r="C5" s="45">
        <f>C6+C7+C8</f>
        <v>93</v>
      </c>
      <c r="D5" s="45">
        <f>D6+D7+D8</f>
        <v>112</v>
      </c>
      <c r="E5" s="119" t="s">
        <v>24</v>
      </c>
    </row>
    <row r="6" spans="1:9" ht="19.5" customHeight="1">
      <c r="A6" s="129" t="s">
        <v>25</v>
      </c>
      <c r="B6" s="78">
        <f>24+21</f>
        <v>45</v>
      </c>
      <c r="C6" s="79">
        <f>27+24</f>
        <v>51</v>
      </c>
      <c r="D6" s="79">
        <f>30+31</f>
        <v>61</v>
      </c>
      <c r="E6" s="120"/>
    </row>
    <row r="7" spans="1:9" ht="19.5" customHeight="1">
      <c r="A7" s="129" t="s">
        <v>26</v>
      </c>
      <c r="B7" s="78">
        <f>18+14</f>
        <v>32</v>
      </c>
      <c r="C7" s="79">
        <f>23+19</f>
        <v>42</v>
      </c>
      <c r="D7" s="79">
        <f>28+23</f>
        <v>51</v>
      </c>
      <c r="E7" s="120"/>
    </row>
    <row r="8" spans="1:9" ht="19.5" customHeight="1">
      <c r="A8" s="130" t="s">
        <v>27</v>
      </c>
      <c r="B8" s="80"/>
      <c r="C8" s="79"/>
      <c r="D8" s="79"/>
      <c r="E8" s="120"/>
    </row>
    <row r="9" spans="1:9" ht="19.5" customHeight="1">
      <c r="A9" s="128" t="s">
        <v>28</v>
      </c>
      <c r="B9" s="45">
        <f>B10+B11+B12</f>
        <v>3521</v>
      </c>
      <c r="C9" s="45">
        <f>C10+C11+C12</f>
        <v>4120</v>
      </c>
      <c r="D9" s="45">
        <f>D10+D11+D12</f>
        <v>5036</v>
      </c>
      <c r="E9" s="120"/>
    </row>
    <row r="10" spans="1:9" ht="19.5" customHeight="1">
      <c r="A10" s="129" t="s">
        <v>25</v>
      </c>
      <c r="B10" s="78">
        <v>2056</v>
      </c>
      <c r="C10" s="81">
        <v>2300</v>
      </c>
      <c r="D10" s="81">
        <v>2736</v>
      </c>
      <c r="E10" s="120"/>
      <c r="I10" s="115" t="s">
        <v>233</v>
      </c>
    </row>
    <row r="11" spans="1:9" ht="19.5" customHeight="1">
      <c r="A11" s="129" t="s">
        <v>26</v>
      </c>
      <c r="B11" s="78">
        <v>1465</v>
      </c>
      <c r="C11" s="81">
        <v>1820</v>
      </c>
      <c r="D11" s="81">
        <v>2300</v>
      </c>
      <c r="E11" s="120"/>
    </row>
    <row r="12" spans="1:9" ht="19.5" customHeight="1">
      <c r="A12" s="130" t="s">
        <v>29</v>
      </c>
      <c r="B12" s="80"/>
      <c r="C12" s="81"/>
      <c r="D12" s="81"/>
      <c r="E12" s="120"/>
    </row>
    <row r="13" spans="1:9" ht="22.8" customHeight="1">
      <c r="A13" s="131" t="s">
        <v>30</v>
      </c>
      <c r="B13" s="79"/>
      <c r="C13" s="81"/>
      <c r="D13" s="81"/>
      <c r="E13" s="121"/>
    </row>
    <row r="14" spans="1:9" ht="23.4" customHeight="1">
      <c r="A14" s="132" t="s">
        <v>31</v>
      </c>
      <c r="B14" s="9">
        <f>B15+B24</f>
        <v>292</v>
      </c>
      <c r="C14" s="9">
        <f>C15+C24</f>
        <v>371</v>
      </c>
      <c r="D14" s="9">
        <f>D15+D24</f>
        <v>416</v>
      </c>
      <c r="E14" s="122" t="s">
        <v>32</v>
      </c>
    </row>
    <row r="15" spans="1:9" ht="19.5" customHeight="1">
      <c r="A15" s="133" t="s">
        <v>33</v>
      </c>
      <c r="B15" s="28">
        <v>292</v>
      </c>
      <c r="C15" s="28">
        <v>371</v>
      </c>
      <c r="D15" s="28">
        <v>416</v>
      </c>
      <c r="E15" s="122"/>
    </row>
    <row r="16" spans="1:9" ht="19.5" customHeight="1">
      <c r="A16" s="133" t="s">
        <v>34</v>
      </c>
      <c r="B16" s="29">
        <v>209</v>
      </c>
      <c r="C16" s="29">
        <v>253</v>
      </c>
      <c r="D16" s="29">
        <v>286</v>
      </c>
      <c r="E16" s="122"/>
    </row>
    <row r="17" spans="1:5" ht="19.5" customHeight="1">
      <c r="A17" s="134" t="s">
        <v>35</v>
      </c>
      <c r="B17" s="30">
        <v>106</v>
      </c>
      <c r="C17" s="29">
        <v>119</v>
      </c>
      <c r="D17" s="29">
        <v>134</v>
      </c>
      <c r="E17" s="122"/>
    </row>
    <row r="18" spans="1:5" ht="19.5" customHeight="1">
      <c r="A18" s="134" t="s">
        <v>36</v>
      </c>
      <c r="B18" s="30">
        <v>103</v>
      </c>
      <c r="C18" s="29">
        <v>133</v>
      </c>
      <c r="D18" s="29">
        <v>152</v>
      </c>
      <c r="E18" s="122"/>
    </row>
    <row r="19" spans="1:5" ht="19.5" customHeight="1">
      <c r="A19" s="134" t="s">
        <v>37</v>
      </c>
      <c r="B19" s="30">
        <v>0</v>
      </c>
      <c r="C19" s="29">
        <v>0</v>
      </c>
      <c r="D19" s="29">
        <v>0</v>
      </c>
      <c r="E19" s="122"/>
    </row>
    <row r="20" spans="1:5" ht="19.5" customHeight="1">
      <c r="A20" s="135" t="s">
        <v>38</v>
      </c>
      <c r="B20" s="30">
        <v>0</v>
      </c>
      <c r="C20" s="30">
        <v>0</v>
      </c>
      <c r="D20" s="30">
        <v>0</v>
      </c>
      <c r="E20" s="122"/>
    </row>
    <row r="21" spans="1:5" ht="19.5" customHeight="1">
      <c r="A21" s="133" t="s">
        <v>39</v>
      </c>
      <c r="B21" s="30">
        <v>12</v>
      </c>
      <c r="C21" s="29">
        <v>16</v>
      </c>
      <c r="D21" s="29">
        <v>16</v>
      </c>
      <c r="E21" s="122"/>
    </row>
    <row r="22" spans="1:5" ht="19.5" customHeight="1">
      <c r="A22" s="133" t="s">
        <v>40</v>
      </c>
      <c r="B22" s="30">
        <v>42</v>
      </c>
      <c r="C22" s="29">
        <v>42</v>
      </c>
      <c r="D22" s="29">
        <v>42</v>
      </c>
      <c r="E22" s="122"/>
    </row>
    <row r="23" spans="1:5" ht="19.5" customHeight="1">
      <c r="A23" s="133" t="s">
        <v>41</v>
      </c>
      <c r="B23" s="30">
        <v>83</v>
      </c>
      <c r="C23" s="30">
        <v>95</v>
      </c>
      <c r="D23" s="30">
        <v>106</v>
      </c>
      <c r="E23" s="122"/>
    </row>
    <row r="24" spans="1:5" ht="19.5" customHeight="1">
      <c r="A24" s="136" t="s">
        <v>42</v>
      </c>
      <c r="B24" s="30">
        <v>0</v>
      </c>
      <c r="C24" s="30">
        <v>0</v>
      </c>
      <c r="D24" s="30">
        <v>0</v>
      </c>
      <c r="E24" s="122"/>
    </row>
    <row r="25" spans="1:5" ht="19.5" customHeight="1">
      <c r="A25" s="136" t="s">
        <v>43</v>
      </c>
      <c r="B25" s="30">
        <v>0</v>
      </c>
      <c r="C25" s="30">
        <v>0</v>
      </c>
      <c r="D25" s="30">
        <v>0</v>
      </c>
      <c r="E25" s="122"/>
    </row>
    <row r="26" spans="1:5" ht="19.5" customHeight="1">
      <c r="A26" s="136" t="s">
        <v>44</v>
      </c>
      <c r="B26" s="30">
        <v>0</v>
      </c>
      <c r="C26" s="30">
        <v>0</v>
      </c>
      <c r="D26" s="30">
        <v>0</v>
      </c>
      <c r="E26" s="122"/>
    </row>
    <row r="27" spans="1:5" ht="19.5" customHeight="1">
      <c r="A27" s="136" t="s">
        <v>45</v>
      </c>
      <c r="B27" s="30">
        <v>0</v>
      </c>
      <c r="C27" s="30">
        <v>0</v>
      </c>
      <c r="D27" s="30">
        <v>0</v>
      </c>
      <c r="E27" s="122"/>
    </row>
    <row r="28" spans="1:5" ht="19.5" customHeight="1">
      <c r="A28" s="136" t="s">
        <v>46</v>
      </c>
      <c r="B28" s="30">
        <v>0</v>
      </c>
      <c r="C28" s="30">
        <v>0</v>
      </c>
      <c r="D28" s="30">
        <v>0</v>
      </c>
      <c r="E28" s="122"/>
    </row>
    <row r="29" spans="1:5" ht="37.799999999999997" customHeight="1">
      <c r="A29" s="109" t="s">
        <v>47</v>
      </c>
      <c r="B29" s="30">
        <f>B30+B31+B32+B33+B34</f>
        <v>221290949.18095201</v>
      </c>
      <c r="C29" s="30">
        <f>C30+C31+C32+C33+C34</f>
        <v>216339880.91904801</v>
      </c>
      <c r="D29" s="30">
        <f>D30+D31+D32+D33+D34</f>
        <v>211388812.657143</v>
      </c>
      <c r="E29" s="79"/>
    </row>
    <row r="30" spans="1:5" ht="19.5" customHeight="1">
      <c r="A30" s="133" t="s">
        <v>48</v>
      </c>
      <c r="B30" s="31">
        <f>[1]固定资产折旧计算表!B4-[1]固定资产折旧计算表!E4*10</f>
        <v>211590283.714286</v>
      </c>
      <c r="C30" s="31">
        <f>[1]固定资产折旧计算表!B4-[1]固定资产折旧计算表!E4*11</f>
        <v>208061618.98571399</v>
      </c>
      <c r="D30" s="31">
        <f>[1]固定资产折旧计算表!B4-[1]固定资产折旧计算表!E4*12</f>
        <v>204532954.25714299</v>
      </c>
      <c r="E30" s="79"/>
    </row>
    <row r="31" spans="1:5" ht="19.5" customHeight="1">
      <c r="A31" s="133" t="s">
        <v>49</v>
      </c>
      <c r="B31" s="28">
        <f>[1]固定资产折旧计算表!B9-[1]固定资产折旧计算表!E9*1</f>
        <v>5352621.4666666696</v>
      </c>
      <c r="C31" s="28">
        <f>[1]固定资产折旧计算表!B9-[1]固定资产折旧计算表!E9*2</f>
        <v>4427198.9333333299</v>
      </c>
      <c r="D31" s="79">
        <f>[1]固定资产折旧计算表!B9-[1]固定资产折旧计算表!E9*3</f>
        <v>3501776.4</v>
      </c>
      <c r="E31" s="79"/>
    </row>
    <row r="32" spans="1:5" ht="19.5" customHeight="1">
      <c r="A32" s="133" t="s">
        <v>50</v>
      </c>
      <c r="B32" s="28">
        <f>[1]固定资产折旧计算表!B21-[1]固定资产折旧计算表!E21</f>
        <v>1835680.8</v>
      </c>
      <c r="C32" s="79">
        <f>[1]固定资产折旧计算表!B21-[1]固定资产折旧计算表!E21*2</f>
        <v>1376760.6</v>
      </c>
      <c r="D32" s="79">
        <f>[1]固定资产折旧计算表!B21-[1]固定资产折旧计算表!E21*3</f>
        <v>917840.4</v>
      </c>
      <c r="E32" s="79"/>
    </row>
    <row r="33" spans="1:5" ht="19.5" customHeight="1">
      <c r="A33" s="133" t="s">
        <v>51</v>
      </c>
      <c r="B33" s="28">
        <f>[1]固定资产折旧计算表!B28-[1]固定资产折旧计算表!E28</f>
        <v>2512363.2000000002</v>
      </c>
      <c r="C33" s="79">
        <f>[1]固定资产折旧计算表!B28-[1]固定资产折旧计算表!E28*2</f>
        <v>2474302.4</v>
      </c>
      <c r="D33" s="79">
        <f>[1]固定资产折旧计算表!B28-[1]固定资产折旧计算表!E28*3</f>
        <v>2436241.6</v>
      </c>
      <c r="E33" s="79"/>
    </row>
    <row r="34" spans="1:5" ht="19.5" customHeight="1">
      <c r="A34" s="137" t="s">
        <v>52</v>
      </c>
      <c r="B34" s="82"/>
      <c r="C34" s="79"/>
      <c r="D34" s="79"/>
      <c r="E34" s="79"/>
    </row>
  </sheetData>
  <mergeCells count="4">
    <mergeCell ref="A2:E2"/>
    <mergeCell ref="A3:C3"/>
    <mergeCell ref="E5:E13"/>
    <mergeCell ref="E14:E28"/>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G34"/>
  <sheetViews>
    <sheetView workbookViewId="0">
      <selection activeCell="D8" sqref="D8"/>
    </sheetView>
  </sheetViews>
  <sheetFormatPr defaultColWidth="9" defaultRowHeight="14.4"/>
  <cols>
    <col min="1" max="1" width="25.88671875" customWidth="1"/>
    <col min="2" max="4" width="18.88671875" customWidth="1"/>
  </cols>
  <sheetData>
    <row r="1" spans="1:4" ht="21.6">
      <c r="A1" s="60" t="s">
        <v>53</v>
      </c>
      <c r="B1" s="61"/>
    </row>
    <row r="2" spans="1:4" ht="24">
      <c r="A2" s="141" t="s">
        <v>213</v>
      </c>
      <c r="B2" s="141"/>
      <c r="C2" s="141"/>
      <c r="D2" s="141"/>
    </row>
    <row r="3" spans="1:4">
      <c r="A3" s="62" t="s">
        <v>54</v>
      </c>
      <c r="B3" s="63"/>
    </row>
    <row r="4" spans="1:4" ht="30.6" customHeight="1">
      <c r="A4" s="64" t="s">
        <v>55</v>
      </c>
      <c r="B4" s="64" t="s">
        <v>56</v>
      </c>
      <c r="C4" s="64" t="s">
        <v>57</v>
      </c>
      <c r="D4" s="64" t="s">
        <v>58</v>
      </c>
    </row>
    <row r="5" spans="1:4" ht="34.799999999999997" customHeight="1">
      <c r="A5" s="65" t="s">
        <v>59</v>
      </c>
      <c r="B5" s="66"/>
      <c r="C5" s="66"/>
      <c r="D5" s="66"/>
    </row>
    <row r="6" spans="1:4" ht="22.5" customHeight="1">
      <c r="A6" s="67" t="s">
        <v>60</v>
      </c>
      <c r="B6" s="66"/>
      <c r="C6" s="66"/>
      <c r="D6" s="66"/>
    </row>
    <row r="7" spans="1:4" ht="22.5" customHeight="1">
      <c r="A7" s="67" t="s">
        <v>61</v>
      </c>
      <c r="B7" s="66"/>
      <c r="C7" s="66"/>
      <c r="D7" s="66"/>
    </row>
    <row r="8" spans="1:4" ht="22.5" customHeight="1">
      <c r="A8" s="67" t="s">
        <v>62</v>
      </c>
      <c r="B8" s="66"/>
      <c r="C8" s="66"/>
      <c r="D8" s="66"/>
    </row>
    <row r="9" spans="1:4" ht="22.5" customHeight="1">
      <c r="A9" s="67" t="s">
        <v>63</v>
      </c>
      <c r="B9" s="66"/>
      <c r="C9" s="66"/>
      <c r="D9" s="66"/>
    </row>
    <row r="10" spans="1:4" ht="34.200000000000003" customHeight="1">
      <c r="A10" s="65" t="s">
        <v>64</v>
      </c>
      <c r="B10" s="68">
        <f>600000+138371.7</f>
        <v>738371.7</v>
      </c>
      <c r="C10" s="68">
        <v>875462.32</v>
      </c>
      <c r="D10" s="68">
        <v>970000</v>
      </c>
    </row>
    <row r="11" spans="1:4" ht="22.5" customHeight="1">
      <c r="A11" s="65" t="s">
        <v>65</v>
      </c>
      <c r="B11" s="68">
        <f>7745080+2939649</f>
        <v>10684729</v>
      </c>
      <c r="C11" s="68">
        <v>16207294</v>
      </c>
      <c r="D11" s="68">
        <v>24149520</v>
      </c>
    </row>
    <row r="12" spans="1:4" ht="22.5" customHeight="1">
      <c r="A12" s="67" t="s">
        <v>66</v>
      </c>
      <c r="B12" s="66">
        <f>B13+B18+B19</f>
        <v>10684729</v>
      </c>
      <c r="C12" s="66">
        <f>C13+C18+C19</f>
        <v>16207294</v>
      </c>
      <c r="D12" s="66">
        <f>D13+D18+D19</f>
        <v>24149520</v>
      </c>
    </row>
    <row r="13" spans="1:4" ht="22.5" customHeight="1">
      <c r="A13" s="67" t="s">
        <v>67</v>
      </c>
      <c r="B13" s="66">
        <f>B14+B15</f>
        <v>7827929</v>
      </c>
      <c r="C13" s="66">
        <f>C14+C15</f>
        <v>12928894</v>
      </c>
      <c r="D13" s="66">
        <f>D14+D15</f>
        <v>21774320</v>
      </c>
    </row>
    <row r="14" spans="1:4" ht="22.5" customHeight="1">
      <c r="A14" s="67" t="s">
        <v>68</v>
      </c>
      <c r="B14" s="69">
        <f>(B11-B18-B19)*0.433</f>
        <v>3389493.2570000002</v>
      </c>
      <c r="C14" s="69">
        <f>(C11-C18-C19)*0.433</f>
        <v>5598211.102</v>
      </c>
      <c r="D14" s="69">
        <f>(D11-D18-D19)*0.51</f>
        <v>11104903.199999999</v>
      </c>
    </row>
    <row r="15" spans="1:4" ht="22.5" customHeight="1">
      <c r="A15" s="67" t="s">
        <v>69</v>
      </c>
      <c r="B15" s="69">
        <f>(B11-B18-B19)*0.567</f>
        <v>4438435.7429999998</v>
      </c>
      <c r="C15" s="69">
        <f>(C11-C18-C19)*0.567</f>
        <v>7330682.898</v>
      </c>
      <c r="D15" s="69">
        <f>(D11-D18-D19)*0.49</f>
        <v>10669416.800000001</v>
      </c>
    </row>
    <row r="16" spans="1:4" ht="22.5" customHeight="1">
      <c r="A16" s="67" t="s">
        <v>70</v>
      </c>
      <c r="B16" s="66"/>
      <c r="C16" s="66"/>
      <c r="D16" s="66"/>
    </row>
    <row r="17" spans="1:7" ht="22.5" customHeight="1">
      <c r="A17" s="67" t="s">
        <v>71</v>
      </c>
      <c r="B17" s="66"/>
      <c r="C17" s="66"/>
      <c r="D17" s="66"/>
    </row>
    <row r="18" spans="1:7" ht="22.5" customHeight="1">
      <c r="A18" s="70" t="s">
        <v>72</v>
      </c>
      <c r="B18" s="66">
        <v>1312800</v>
      </c>
      <c r="C18" s="66">
        <v>1395200</v>
      </c>
      <c r="D18" s="66">
        <v>152800</v>
      </c>
    </row>
    <row r="19" spans="1:7" ht="22.5" customHeight="1">
      <c r="A19" s="67" t="s">
        <v>73</v>
      </c>
      <c r="B19" s="66">
        <f>400*3860</f>
        <v>1544000</v>
      </c>
      <c r="C19" s="66">
        <f>400*4708</f>
        <v>1883200</v>
      </c>
      <c r="D19" s="66">
        <f>400*5556</f>
        <v>2222400</v>
      </c>
    </row>
    <row r="20" spans="1:7" ht="22.5" customHeight="1">
      <c r="A20" s="71" t="s">
        <v>74</v>
      </c>
      <c r="B20" s="72"/>
      <c r="C20" s="72"/>
      <c r="D20" s="72"/>
    </row>
    <row r="21" spans="1:7" ht="22.5" customHeight="1">
      <c r="A21" s="72" t="s">
        <v>75</v>
      </c>
      <c r="B21" s="72"/>
      <c r="C21" s="72"/>
      <c r="D21" s="72"/>
    </row>
    <row r="22" spans="1:7" ht="22.5" customHeight="1">
      <c r="A22" s="73" t="s">
        <v>76</v>
      </c>
      <c r="B22" s="73"/>
      <c r="C22" s="73"/>
      <c r="D22" s="73"/>
    </row>
    <row r="23" spans="1:7" ht="22.5" customHeight="1">
      <c r="A23" s="73" t="s">
        <v>77</v>
      </c>
      <c r="B23" s="74"/>
      <c r="C23" s="74"/>
      <c r="D23" s="74"/>
    </row>
    <row r="24" spans="1:7" ht="22.5" customHeight="1">
      <c r="A24" s="73" t="s">
        <v>78</v>
      </c>
      <c r="B24" s="74"/>
      <c r="C24" s="74"/>
      <c r="D24" s="74"/>
      <c r="G24" s="37"/>
    </row>
    <row r="25" spans="1:7" ht="22.5" customHeight="1">
      <c r="A25" s="75" t="s">
        <v>79</v>
      </c>
      <c r="B25" s="74"/>
      <c r="C25" s="74"/>
      <c r="D25" s="74"/>
    </row>
    <row r="26" spans="1:7" ht="22.5" customHeight="1">
      <c r="A26" s="75" t="s">
        <v>80</v>
      </c>
      <c r="B26" s="74"/>
      <c r="C26" s="74"/>
      <c r="D26" s="74"/>
    </row>
    <row r="27" spans="1:7" ht="26.1" customHeight="1">
      <c r="A27" s="20" t="s">
        <v>81</v>
      </c>
      <c r="B27" s="20">
        <f>B11+B10</f>
        <v>11423100.699999999</v>
      </c>
      <c r="C27" s="20">
        <f>C11+C10</f>
        <v>17082756.32</v>
      </c>
      <c r="D27" s="20">
        <f>D11+D10</f>
        <v>25119520</v>
      </c>
    </row>
    <row r="29" spans="1:7">
      <c r="A29" t="s">
        <v>82</v>
      </c>
      <c r="B29">
        <f>B14/2125</f>
        <v>1595.0556503529399</v>
      </c>
      <c r="C29">
        <f>C14/2541</f>
        <v>2203.1527359307402</v>
      </c>
      <c r="D29">
        <f>D14/2937</f>
        <v>3781.0361593462699</v>
      </c>
    </row>
    <row r="30" spans="1:7">
      <c r="A30" t="s">
        <v>83</v>
      </c>
      <c r="B30">
        <f>教育培养成本核定表!B24</f>
        <v>5940.5811730017776</v>
      </c>
      <c r="C30">
        <f>教育培养成本核定表!C24</f>
        <v>6885.2586511289146</v>
      </c>
      <c r="D30">
        <f>教育培养成本核定表!D24</f>
        <v>6841.962356223693</v>
      </c>
    </row>
    <row r="31" spans="1:7">
      <c r="A31" t="s">
        <v>84</v>
      </c>
      <c r="B31">
        <f>B29-B30</f>
        <v>-4345.525522648838</v>
      </c>
      <c r="C31">
        <f>C29-C30</f>
        <v>-4682.1059151981744</v>
      </c>
      <c r="D31">
        <f>D29-D30</f>
        <v>-3060.9261968774231</v>
      </c>
    </row>
    <row r="32" spans="1:7">
      <c r="A32" t="s">
        <v>85</v>
      </c>
      <c r="B32">
        <f>B15/1735</f>
        <v>2558.1762207492793</v>
      </c>
      <c r="C32">
        <f>C15/2167</f>
        <v>3382.8716649746193</v>
      </c>
      <c r="D32">
        <f>D15/2619</f>
        <v>4073.8513936617032</v>
      </c>
    </row>
    <row r="33" spans="1:4">
      <c r="A33" t="s">
        <v>83</v>
      </c>
      <c r="B33">
        <f>教育培养成本核定表!B25</f>
        <v>8486.5445328596816</v>
      </c>
      <c r="C33">
        <f>教育培养成本核定表!C25</f>
        <v>9836.0837873270211</v>
      </c>
      <c r="D33">
        <f>教育培养成本核定表!D25</f>
        <v>9774.2319374624185</v>
      </c>
    </row>
    <row r="34" spans="1:4">
      <c r="A34" t="s">
        <v>84</v>
      </c>
      <c r="B34">
        <f>B32-B33</f>
        <v>-5928.3683121104023</v>
      </c>
      <c r="C34">
        <f>C32-C33</f>
        <v>-6453.2121223524018</v>
      </c>
      <c r="D34">
        <f>D32-D33</f>
        <v>-5700.3805438007148</v>
      </c>
    </row>
  </sheetData>
  <mergeCells count="1">
    <mergeCell ref="A2:D2"/>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tabColor rgb="FFFFC000"/>
  </sheetPr>
  <dimension ref="A1:J58"/>
  <sheetViews>
    <sheetView workbookViewId="0">
      <pane xSplit="1" ySplit="4" topLeftCell="B11" activePane="bottomRight" state="frozen"/>
      <selection pane="topRight"/>
      <selection pane="bottomLeft"/>
      <selection pane="bottomRight" activeCell="O16" sqref="O16"/>
    </sheetView>
  </sheetViews>
  <sheetFormatPr defaultColWidth="9" defaultRowHeight="14.4"/>
  <cols>
    <col min="1" max="1" width="22.33203125" customWidth="1"/>
    <col min="2" max="2" width="15.88671875" customWidth="1"/>
    <col min="3" max="3" width="13.44140625" customWidth="1"/>
    <col min="4" max="4" width="12.21875" customWidth="1"/>
    <col min="5" max="5" width="14.109375" customWidth="1"/>
    <col min="6" max="6" width="10" customWidth="1"/>
    <col min="7" max="7" width="13.33203125" customWidth="1"/>
    <col min="8" max="8" width="12.44140625" customWidth="1"/>
    <col min="9" max="9" width="11.6640625" customWidth="1"/>
    <col min="10" max="10" width="12.44140625" customWidth="1"/>
  </cols>
  <sheetData>
    <row r="1" spans="1:10" ht="21">
      <c r="A1" s="58" t="s">
        <v>86</v>
      </c>
      <c r="B1" s="39"/>
      <c r="C1" s="39"/>
      <c r="D1" s="39"/>
    </row>
    <row r="2" spans="1:10" ht="24">
      <c r="A2" s="162" t="s">
        <v>214</v>
      </c>
      <c r="B2" s="162"/>
      <c r="C2" s="162"/>
      <c r="D2" s="162"/>
      <c r="E2" s="162"/>
      <c r="F2" s="162"/>
      <c r="G2" s="162"/>
      <c r="H2" s="162"/>
      <c r="I2" s="162"/>
      <c r="J2" s="162"/>
    </row>
    <row r="3" spans="1:10" ht="15.6">
      <c r="A3" s="59"/>
      <c r="B3" s="59"/>
      <c r="C3" s="59"/>
      <c r="D3" s="59"/>
      <c r="J3" t="s">
        <v>87</v>
      </c>
    </row>
    <row r="4" spans="1:10" ht="15.6" customHeight="1">
      <c r="A4" s="143" t="s">
        <v>234</v>
      </c>
      <c r="B4" s="144" t="s">
        <v>235</v>
      </c>
      <c r="C4" s="144" t="s">
        <v>236</v>
      </c>
      <c r="D4" s="144" t="s">
        <v>237</v>
      </c>
      <c r="E4" s="144" t="s">
        <v>238</v>
      </c>
      <c r="F4" s="144" t="s">
        <v>236</v>
      </c>
      <c r="G4" s="144" t="s">
        <v>239</v>
      </c>
      <c r="H4" s="144" t="s">
        <v>240</v>
      </c>
      <c r="I4" s="144" t="s">
        <v>236</v>
      </c>
      <c r="J4" s="144" t="s">
        <v>241</v>
      </c>
    </row>
    <row r="5" spans="1:10" s="57" customFormat="1">
      <c r="A5" s="145" t="s">
        <v>91</v>
      </c>
      <c r="B5" s="146">
        <f>B6+B7+B8+B9+B10+B11</f>
        <v>13513404.15</v>
      </c>
      <c r="C5" s="146">
        <f>D5-B5</f>
        <v>-6180892.6699999999</v>
      </c>
      <c r="D5" s="146">
        <f>D6+D7+D8+D9+D10+D11</f>
        <v>7332511.4800000004</v>
      </c>
      <c r="E5" s="147">
        <f>E6+E7+H9+E8+H10+E11</f>
        <v>19308177.700000003</v>
      </c>
      <c r="F5" s="146">
        <f t="shared" ref="F5:F55" si="0">G5-E5</f>
        <v>-8739396.0100000035</v>
      </c>
      <c r="G5" s="146">
        <f>G6+G7+G8+G9+G10+G11</f>
        <v>10568781.689999999</v>
      </c>
      <c r="H5" s="147">
        <f>H6+H7+K9+H8+K10+H11</f>
        <v>26450854.359999999</v>
      </c>
      <c r="I5" s="146">
        <f t="shared" ref="I5:I55" si="1">J5-H5</f>
        <v>-13440204.24</v>
      </c>
      <c r="J5" s="146">
        <f>J6+J7+J8+J9+J10+J11</f>
        <v>13010650.119999999</v>
      </c>
    </row>
    <row r="6" spans="1:10">
      <c r="A6" s="148" t="s">
        <v>242</v>
      </c>
      <c r="B6" s="149">
        <v>8915807</v>
      </c>
      <c r="C6" s="146">
        <f t="shared" ref="C6:C55" si="2">D6-B6</f>
        <v>-2725113</v>
      </c>
      <c r="D6" s="149">
        <v>6190694</v>
      </c>
      <c r="E6" s="150">
        <v>14314707</v>
      </c>
      <c r="F6" s="146">
        <f t="shared" si="0"/>
        <v>-5136839</v>
      </c>
      <c r="G6" s="149">
        <v>9177868</v>
      </c>
      <c r="H6" s="150">
        <v>20510514</v>
      </c>
      <c r="I6" s="146">
        <f t="shared" si="1"/>
        <v>-9455259</v>
      </c>
      <c r="J6" s="151">
        <v>11055255</v>
      </c>
    </row>
    <row r="7" spans="1:10">
      <c r="A7" s="148" t="s">
        <v>243</v>
      </c>
      <c r="B7" s="149">
        <f>B6*0.2</f>
        <v>1783161.4</v>
      </c>
      <c r="C7" s="146">
        <f t="shared" si="2"/>
        <v>-1583458.4</v>
      </c>
      <c r="D7" s="149">
        <f>197593+400+1710</f>
        <v>199703</v>
      </c>
      <c r="E7" s="149">
        <f>E6*0.1</f>
        <v>1431470.7</v>
      </c>
      <c r="F7" s="146">
        <f t="shared" si="0"/>
        <v>-1344133.7</v>
      </c>
      <c r="G7" s="149">
        <v>87337</v>
      </c>
      <c r="H7" s="149">
        <f>H6*0.11</f>
        <v>2256156.54</v>
      </c>
      <c r="I7" s="146">
        <f t="shared" si="1"/>
        <v>-2059517.54</v>
      </c>
      <c r="J7" s="151">
        <f>153006+43633</f>
        <v>196639</v>
      </c>
    </row>
    <row r="8" spans="1:10">
      <c r="A8" s="148" t="s">
        <v>244</v>
      </c>
      <c r="B8" s="149">
        <f>B6*0.15</f>
        <v>1337371.05</v>
      </c>
      <c r="C8" s="146">
        <f t="shared" si="2"/>
        <v>-1337371.05</v>
      </c>
      <c r="D8" s="149"/>
      <c r="E8" s="149">
        <f>E6*0.1</f>
        <v>1431470.7</v>
      </c>
      <c r="F8" s="146">
        <f t="shared" si="0"/>
        <v>-1431470.7</v>
      </c>
      <c r="G8" s="149"/>
      <c r="H8" s="149">
        <f>H6*0.13</f>
        <v>2666366.8199999998</v>
      </c>
      <c r="I8" s="146">
        <f t="shared" si="1"/>
        <v>-2666366.8199999998</v>
      </c>
      <c r="J8" s="151"/>
    </row>
    <row r="9" spans="1:10">
      <c r="A9" s="148" t="s">
        <v>245</v>
      </c>
      <c r="B9" s="149">
        <v>199233</v>
      </c>
      <c r="C9" s="146">
        <f t="shared" si="2"/>
        <v>-1.7999999999883585</v>
      </c>
      <c r="D9" s="149">
        <v>199231.2</v>
      </c>
      <c r="E9" s="152">
        <v>202232.53</v>
      </c>
      <c r="F9" s="146">
        <f t="shared" si="0"/>
        <v>0</v>
      </c>
      <c r="G9" s="149">
        <v>202232.53</v>
      </c>
      <c r="H9" s="150">
        <v>448491.42</v>
      </c>
      <c r="I9" s="146">
        <f t="shared" si="1"/>
        <v>-16365.899999999965</v>
      </c>
      <c r="J9" s="153">
        <v>432125.52</v>
      </c>
    </row>
    <row r="10" spans="1:10">
      <c r="A10" s="148" t="s">
        <v>246</v>
      </c>
      <c r="B10" s="149">
        <v>742883.28</v>
      </c>
      <c r="C10" s="146">
        <f t="shared" si="2"/>
        <v>0</v>
      </c>
      <c r="D10" s="149">
        <v>742883.28</v>
      </c>
      <c r="E10" s="154">
        <f>G6*0.12</f>
        <v>1101344.1599999999</v>
      </c>
      <c r="F10" s="146">
        <f t="shared" si="0"/>
        <v>0</v>
      </c>
      <c r="G10" s="149">
        <f>G6*0.12</f>
        <v>1101344.1599999999</v>
      </c>
      <c r="H10" s="150">
        <f>J6*0.12</f>
        <v>1326630.5999999999</v>
      </c>
      <c r="I10" s="146">
        <f t="shared" si="1"/>
        <v>0</v>
      </c>
      <c r="J10" s="151">
        <f>J6*0.12</f>
        <v>1326630.5999999999</v>
      </c>
    </row>
    <row r="11" spans="1:10">
      <c r="A11" s="148" t="s">
        <v>247</v>
      </c>
      <c r="B11" s="151">
        <f>B6*0.06</f>
        <v>534948.42000000004</v>
      </c>
      <c r="C11" s="146">
        <f t="shared" si="2"/>
        <v>-534948.42000000004</v>
      </c>
      <c r="D11" s="151"/>
      <c r="E11" s="153">
        <v>355407.28</v>
      </c>
      <c r="F11" s="146">
        <f t="shared" si="0"/>
        <v>-355407.28</v>
      </c>
      <c r="G11" s="151"/>
      <c r="H11" s="153">
        <v>1017817</v>
      </c>
      <c r="I11" s="146">
        <f t="shared" si="1"/>
        <v>-1017817</v>
      </c>
      <c r="J11" s="151"/>
    </row>
    <row r="12" spans="1:10" s="57" customFormat="1">
      <c r="A12" s="145" t="s">
        <v>92</v>
      </c>
      <c r="B12" s="146">
        <f>B13+B14+B15+B16+B17+B18+B19+B20+B21+B22+B23+B24++B25+B26+B27+B28+B29+B30+B31+B32+B33+B34+B35+B36</f>
        <v>21292320.010000002</v>
      </c>
      <c r="C12" s="146">
        <f t="shared" si="2"/>
        <v>-18977381.850000001</v>
      </c>
      <c r="D12" s="146">
        <f>D13+D14+D15+D16+D17+D18+D19+D20+D21+D22+D23+D24++D25+D26+D27+D28+D29+D30+D31+D32+D33+D34+D35+D36</f>
        <v>2314938.16</v>
      </c>
      <c r="E12" s="147">
        <f>E13+E14+E15+E16+E17+E18+E19+E20+E21+E22+E23+E24+E25+E26+E27+E28+E29+E30+E31+E32+E33+E34+E35+E36</f>
        <v>36810952.189999998</v>
      </c>
      <c r="F12" s="146">
        <f t="shared" si="0"/>
        <v>-32324500.049999997</v>
      </c>
      <c r="G12" s="146">
        <f>G13+G14+G15+G16+G17+G18+G19+G20+G21+G22+G23+G24++G25+G26+G27+G28+G29+G30+G31+G32+G33+G34+G35+G36</f>
        <v>4486452.1400000006</v>
      </c>
      <c r="H12" s="147">
        <f>H13+H14+H15+H16+H17+H18+H19+H20+H21+H22+H23+H24+H25+H26+H27+H28+H29+H30+H31+H32+H33+H34+H35+H36</f>
        <v>52060372.68</v>
      </c>
      <c r="I12" s="146">
        <f t="shared" si="1"/>
        <v>-47003548.229999997</v>
      </c>
      <c r="J12" s="146">
        <f>J13+J14+J15+J16+J17+J18+J19+J20+J21+J22+J23+J24++J25+J26+J27+J28+J29+J30+J31+J32+J33+J34+J35+J36</f>
        <v>5056824.45</v>
      </c>
    </row>
    <row r="13" spans="1:10">
      <c r="A13" s="155" t="s">
        <v>248</v>
      </c>
      <c r="B13" s="151">
        <f>32749.9+61550.72</f>
        <v>94300.62</v>
      </c>
      <c r="C13" s="146">
        <f t="shared" si="2"/>
        <v>-0.19999999999708962</v>
      </c>
      <c r="D13" s="151">
        <f>32749.7+61550.72</f>
        <v>94300.42</v>
      </c>
      <c r="E13" s="153">
        <v>415120</v>
      </c>
      <c r="F13" s="146">
        <f t="shared" si="0"/>
        <v>-265532</v>
      </c>
      <c r="G13" s="151">
        <f>120242+6600+22746</f>
        <v>149588</v>
      </c>
      <c r="H13" s="153">
        <v>199046.8</v>
      </c>
      <c r="I13" s="146">
        <f t="shared" si="1"/>
        <v>0</v>
      </c>
      <c r="J13" s="151">
        <v>199046.8</v>
      </c>
    </row>
    <row r="14" spans="1:10">
      <c r="A14" s="155" t="s">
        <v>249</v>
      </c>
      <c r="B14" s="151">
        <f>366389.99+51415+186555</f>
        <v>604359.99</v>
      </c>
      <c r="C14" s="146">
        <f t="shared" si="2"/>
        <v>0</v>
      </c>
      <c r="D14" s="151">
        <f>366389.99+186555+51415</f>
        <v>604359.99</v>
      </c>
      <c r="E14" s="153"/>
      <c r="F14" s="146">
        <f t="shared" si="0"/>
        <v>452681.91</v>
      </c>
      <c r="G14" s="151">
        <f>452681.91</f>
        <v>452681.91</v>
      </c>
      <c r="H14" s="153">
        <v>943243.18</v>
      </c>
      <c r="I14" s="146">
        <f t="shared" si="1"/>
        <v>0</v>
      </c>
      <c r="J14" s="151">
        <v>943243.18</v>
      </c>
    </row>
    <row r="15" spans="1:10">
      <c r="A15" s="155" t="s">
        <v>250</v>
      </c>
      <c r="B15" s="151">
        <v>2000</v>
      </c>
      <c r="C15" s="146">
        <f t="shared" si="2"/>
        <v>0</v>
      </c>
      <c r="D15" s="151">
        <v>2000</v>
      </c>
      <c r="E15" s="153"/>
      <c r="F15" s="146">
        <f t="shared" si="0"/>
        <v>0</v>
      </c>
      <c r="G15" s="151"/>
      <c r="H15" s="153">
        <v>4500</v>
      </c>
      <c r="I15" s="146">
        <f t="shared" si="1"/>
        <v>-4500</v>
      </c>
      <c r="J15" s="151"/>
    </row>
    <row r="16" spans="1:10">
      <c r="A16" s="155" t="s">
        <v>251</v>
      </c>
      <c r="B16" s="151"/>
      <c r="C16" s="146">
        <f t="shared" si="2"/>
        <v>0</v>
      </c>
      <c r="D16" s="151"/>
      <c r="E16" s="153"/>
      <c r="F16" s="146">
        <f t="shared" si="0"/>
        <v>0</v>
      </c>
      <c r="G16" s="151"/>
      <c r="H16" s="153"/>
      <c r="I16" s="146">
        <f t="shared" si="1"/>
        <v>0</v>
      </c>
      <c r="J16" s="151"/>
    </row>
    <row r="17" spans="1:10">
      <c r="A17" s="155" t="s">
        <v>252</v>
      </c>
      <c r="B17" s="151">
        <v>95342.32</v>
      </c>
      <c r="C17" s="146">
        <f t="shared" si="2"/>
        <v>-95342.32</v>
      </c>
      <c r="D17" s="151"/>
      <c r="E17" s="153">
        <v>153118.6</v>
      </c>
      <c r="F17" s="146">
        <f t="shared" si="0"/>
        <v>-153118.6</v>
      </c>
      <c r="G17" s="151"/>
      <c r="H17" s="153">
        <v>165792.79</v>
      </c>
      <c r="I17" s="146">
        <f t="shared" si="1"/>
        <v>-165792.79</v>
      </c>
      <c r="J17" s="151"/>
    </row>
    <row r="18" spans="1:10">
      <c r="A18" s="155" t="s">
        <v>253</v>
      </c>
      <c r="B18" s="151">
        <v>267016.68</v>
      </c>
      <c r="C18" s="146">
        <f t="shared" si="2"/>
        <v>39567.640000000014</v>
      </c>
      <c r="D18" s="151">
        <f>152016.68+154567.64</f>
        <v>306584.32000000001</v>
      </c>
      <c r="E18" s="153">
        <v>292060.39</v>
      </c>
      <c r="F18" s="146">
        <f t="shared" si="0"/>
        <v>38415.26999999996</v>
      </c>
      <c r="G18" s="151">
        <v>330475.65999999997</v>
      </c>
      <c r="H18" s="153">
        <v>421037.66</v>
      </c>
      <c r="I18" s="146">
        <f t="shared" si="1"/>
        <v>134283.40999999997</v>
      </c>
      <c r="J18" s="151">
        <v>555321.06999999995</v>
      </c>
    </row>
    <row r="19" spans="1:10">
      <c r="A19" s="155" t="s">
        <v>254</v>
      </c>
      <c r="B19" s="151">
        <v>600</v>
      </c>
      <c r="C19" s="146">
        <f t="shared" si="2"/>
        <v>0</v>
      </c>
      <c r="D19" s="151">
        <v>600</v>
      </c>
      <c r="E19" s="153">
        <v>9621</v>
      </c>
      <c r="F19" s="146">
        <f t="shared" si="0"/>
        <v>-9621</v>
      </c>
      <c r="G19" s="151"/>
      <c r="H19" s="153">
        <v>19684</v>
      </c>
      <c r="I19" s="146">
        <f t="shared" si="1"/>
        <v>-12384</v>
      </c>
      <c r="J19" s="151">
        <v>7300</v>
      </c>
    </row>
    <row r="20" spans="1:10">
      <c r="A20" s="155" t="s">
        <v>255</v>
      </c>
      <c r="B20" s="151"/>
      <c r="C20" s="146">
        <f t="shared" si="2"/>
        <v>0</v>
      </c>
      <c r="D20" s="151"/>
      <c r="E20" s="153"/>
      <c r="F20" s="146">
        <f t="shared" si="0"/>
        <v>0</v>
      </c>
      <c r="G20" s="151"/>
      <c r="H20" s="153"/>
      <c r="I20" s="146">
        <f t="shared" si="1"/>
        <v>0</v>
      </c>
      <c r="J20" s="151"/>
    </row>
    <row r="21" spans="1:10">
      <c r="A21" s="155" t="s">
        <v>256</v>
      </c>
      <c r="B21" s="151">
        <f>5272.5+8717</f>
        <v>13989.5</v>
      </c>
      <c r="C21" s="146">
        <f t="shared" si="2"/>
        <v>0</v>
      </c>
      <c r="D21" s="151">
        <v>13989.5</v>
      </c>
      <c r="E21" s="153"/>
      <c r="F21" s="146">
        <f t="shared" si="0"/>
        <v>11585.83</v>
      </c>
      <c r="G21" s="151">
        <v>11585.83</v>
      </c>
      <c r="H21" s="153">
        <v>110245.82</v>
      </c>
      <c r="I21" s="146">
        <f t="shared" si="1"/>
        <v>0</v>
      </c>
      <c r="J21" s="151">
        <v>110245.82</v>
      </c>
    </row>
    <row r="22" spans="1:10">
      <c r="A22" s="155" t="s">
        <v>257</v>
      </c>
      <c r="B22" s="151"/>
      <c r="C22" s="146">
        <f t="shared" si="2"/>
        <v>0</v>
      </c>
      <c r="D22" s="151"/>
      <c r="E22" s="153"/>
      <c r="F22" s="146">
        <f t="shared" si="0"/>
        <v>0</v>
      </c>
      <c r="G22" s="151"/>
      <c r="H22" s="153"/>
      <c r="I22" s="146">
        <f t="shared" si="1"/>
        <v>0</v>
      </c>
      <c r="J22" s="151"/>
    </row>
    <row r="23" spans="1:10">
      <c r="A23" s="155" t="s">
        <v>258</v>
      </c>
      <c r="B23" s="151">
        <f>346172+46455.8+980</f>
        <v>393607.8</v>
      </c>
      <c r="C23" s="146">
        <f t="shared" si="2"/>
        <v>0</v>
      </c>
      <c r="D23" s="151">
        <f>46455.8+980+346172</f>
        <v>393607.8</v>
      </c>
      <c r="E23" s="153">
        <f>750772+132858</f>
        <v>883630</v>
      </c>
      <c r="F23" s="146">
        <f t="shared" si="0"/>
        <v>414283</v>
      </c>
      <c r="G23" s="151">
        <f>1260003+37910</f>
        <v>1297913</v>
      </c>
      <c r="H23" s="153">
        <f>399747+1321190</f>
        <v>1720937</v>
      </c>
      <c r="I23" s="146">
        <f t="shared" si="1"/>
        <v>-1304632</v>
      </c>
      <c r="J23" s="151">
        <f>399747+16558</f>
        <v>416305</v>
      </c>
    </row>
    <row r="24" spans="1:10">
      <c r="A24" s="155" t="s">
        <v>259</v>
      </c>
      <c r="B24" s="151">
        <v>355</v>
      </c>
      <c r="C24" s="146">
        <f t="shared" si="2"/>
        <v>0</v>
      </c>
      <c r="D24" s="151">
        <v>355</v>
      </c>
      <c r="E24" s="153"/>
      <c r="F24" s="146">
        <f t="shared" si="0"/>
        <v>1918</v>
      </c>
      <c r="G24" s="151">
        <v>1918</v>
      </c>
      <c r="H24" s="153"/>
      <c r="I24" s="146">
        <f t="shared" si="1"/>
        <v>863</v>
      </c>
      <c r="J24" s="151">
        <v>863</v>
      </c>
    </row>
    <row r="25" spans="1:10">
      <c r="A25" s="155" t="s">
        <v>260</v>
      </c>
      <c r="B25" s="151">
        <v>68460</v>
      </c>
      <c r="C25" s="146">
        <f t="shared" si="2"/>
        <v>-68460</v>
      </c>
      <c r="D25" s="151">
        <v>0</v>
      </c>
      <c r="E25" s="153"/>
      <c r="F25" s="146">
        <f t="shared" si="0"/>
        <v>0</v>
      </c>
      <c r="G25" s="151">
        <v>0</v>
      </c>
      <c r="H25" s="153">
        <v>304252</v>
      </c>
      <c r="I25" s="146">
        <f t="shared" si="1"/>
        <v>-304252</v>
      </c>
      <c r="J25" s="151">
        <v>0</v>
      </c>
    </row>
    <row r="26" spans="1:10">
      <c r="A26" s="155" t="s">
        <v>261</v>
      </c>
      <c r="B26" s="151">
        <v>216424</v>
      </c>
      <c r="C26" s="146">
        <f t="shared" si="2"/>
        <v>-61656.649999999994</v>
      </c>
      <c r="D26" s="151">
        <v>154767.35</v>
      </c>
      <c r="E26" s="153">
        <v>691265.24</v>
      </c>
      <c r="F26" s="146">
        <f t="shared" si="0"/>
        <v>-461818.54</v>
      </c>
      <c r="G26" s="151">
        <v>229446.7</v>
      </c>
      <c r="H26" s="153">
        <v>869660</v>
      </c>
      <c r="I26" s="146">
        <f t="shared" si="1"/>
        <v>-593278.62</v>
      </c>
      <c r="J26" s="151">
        <v>276381.38</v>
      </c>
    </row>
    <row r="27" spans="1:10">
      <c r="A27" s="155" t="s">
        <v>262</v>
      </c>
      <c r="B27" s="151">
        <v>41994</v>
      </c>
      <c r="C27" s="146">
        <f t="shared" si="2"/>
        <v>0</v>
      </c>
      <c r="D27" s="151">
        <v>41994</v>
      </c>
      <c r="E27" s="153">
        <v>323410.3</v>
      </c>
      <c r="F27" s="146">
        <f t="shared" si="0"/>
        <v>-242373.83</v>
      </c>
      <c r="G27" s="151">
        <f>16207294*0.005</f>
        <v>81036.47</v>
      </c>
      <c r="H27" s="153">
        <v>296954.78000000003</v>
      </c>
      <c r="I27" s="146">
        <f t="shared" si="1"/>
        <v>-176207.18000000002</v>
      </c>
      <c r="J27" s="151">
        <v>120747.6</v>
      </c>
    </row>
    <row r="28" spans="1:10">
      <c r="A28" s="155" t="s">
        <v>263</v>
      </c>
      <c r="B28" s="151"/>
      <c r="C28" s="146">
        <f t="shared" si="2"/>
        <v>0</v>
      </c>
      <c r="D28" s="151"/>
      <c r="E28" s="153"/>
      <c r="F28" s="146">
        <f t="shared" si="0"/>
        <v>0</v>
      </c>
      <c r="G28" s="151"/>
      <c r="H28" s="153"/>
      <c r="I28" s="146">
        <f t="shared" si="1"/>
        <v>0</v>
      </c>
      <c r="J28" s="151"/>
    </row>
    <row r="29" spans="1:10">
      <c r="A29" s="155" t="s">
        <v>264</v>
      </c>
      <c r="B29" s="151">
        <v>12356</v>
      </c>
      <c r="C29" s="146">
        <f t="shared" si="2"/>
        <v>11644</v>
      </c>
      <c r="D29" s="151">
        <v>24000</v>
      </c>
      <c r="E29" s="153">
        <v>25632</v>
      </c>
      <c r="F29" s="146">
        <f t="shared" si="0"/>
        <v>-25632</v>
      </c>
      <c r="G29" s="151"/>
      <c r="H29" s="153">
        <v>45632</v>
      </c>
      <c r="I29" s="146">
        <f t="shared" si="1"/>
        <v>-45632</v>
      </c>
      <c r="J29" s="151"/>
    </row>
    <row r="30" spans="1:10">
      <c r="A30" s="155" t="s">
        <v>265</v>
      </c>
      <c r="B30" s="151"/>
      <c r="C30" s="146">
        <f t="shared" si="2"/>
        <v>0</v>
      </c>
      <c r="D30" s="151"/>
      <c r="E30" s="153"/>
      <c r="F30" s="146">
        <f t="shared" si="0"/>
        <v>0</v>
      </c>
      <c r="G30" s="151"/>
      <c r="H30" s="153"/>
      <c r="I30" s="146">
        <f t="shared" si="1"/>
        <v>0</v>
      </c>
      <c r="J30" s="151"/>
    </row>
    <row r="31" spans="1:10">
      <c r="A31" s="156" t="s">
        <v>266</v>
      </c>
      <c r="B31" s="151">
        <f>B6*2</f>
        <v>17831614</v>
      </c>
      <c r="C31" s="146">
        <f t="shared" si="2"/>
        <v>-17707800.120000001</v>
      </c>
      <c r="D31" s="151">
        <v>123813.88</v>
      </c>
      <c r="E31" s="151">
        <f t="shared" ref="E31:H31" si="3">E6*2</f>
        <v>28629414</v>
      </c>
      <c r="F31" s="146">
        <f t="shared" si="0"/>
        <v>-28399967.300000001</v>
      </c>
      <c r="G31" s="151">
        <f>229446.7</f>
        <v>229446.7</v>
      </c>
      <c r="H31" s="151">
        <f t="shared" si="3"/>
        <v>41021028</v>
      </c>
      <c r="I31" s="146">
        <f t="shared" si="1"/>
        <v>-40799922.899999999</v>
      </c>
      <c r="J31" s="151">
        <v>221105.1</v>
      </c>
    </row>
    <row r="32" spans="1:10">
      <c r="A32" s="155" t="s">
        <v>267</v>
      </c>
      <c r="B32" s="151">
        <v>1035144.6</v>
      </c>
      <c r="C32" s="146">
        <f t="shared" si="2"/>
        <v>-1035144.6</v>
      </c>
      <c r="D32" s="151">
        <v>0</v>
      </c>
      <c r="E32" s="153">
        <v>4196784</v>
      </c>
      <c r="F32" s="146">
        <f t="shared" si="0"/>
        <v>-4196784</v>
      </c>
      <c r="G32" s="151">
        <v>0</v>
      </c>
      <c r="H32" s="153">
        <v>4688277</v>
      </c>
      <c r="I32" s="146">
        <f t="shared" si="1"/>
        <v>-4688277</v>
      </c>
      <c r="J32" s="151"/>
    </row>
    <row r="33" spans="1:10">
      <c r="A33" s="155" t="s">
        <v>268</v>
      </c>
      <c r="B33" s="151">
        <f>274257+211350</f>
        <v>485607</v>
      </c>
      <c r="C33" s="146">
        <f t="shared" si="2"/>
        <v>-485607</v>
      </c>
      <c r="D33" s="151">
        <v>0</v>
      </c>
      <c r="E33" s="153">
        <v>57884.62</v>
      </c>
      <c r="F33" s="146">
        <f t="shared" si="0"/>
        <v>-57884.62</v>
      </c>
      <c r="G33" s="151">
        <v>0</v>
      </c>
      <c r="H33" s="153">
        <v>550524.43999999994</v>
      </c>
      <c r="I33" s="146">
        <f t="shared" si="1"/>
        <v>-550524.43999999994</v>
      </c>
      <c r="J33" s="151"/>
    </row>
    <row r="34" spans="1:10">
      <c r="A34" s="155" t="s">
        <v>269</v>
      </c>
      <c r="B34" s="151"/>
      <c r="C34" s="146">
        <f t="shared" si="2"/>
        <v>0</v>
      </c>
      <c r="D34" s="151"/>
      <c r="E34" s="153"/>
      <c r="F34" s="146">
        <f t="shared" si="0"/>
        <v>0</v>
      </c>
      <c r="G34" s="151"/>
      <c r="H34" s="153"/>
      <c r="I34" s="146">
        <f t="shared" si="1"/>
        <v>4000</v>
      </c>
      <c r="J34" s="151">
        <v>4000</v>
      </c>
    </row>
    <row r="35" spans="1:10">
      <c r="A35" s="155" t="s">
        <v>270</v>
      </c>
      <c r="B35" s="151"/>
      <c r="C35" s="146">
        <f t="shared" si="2"/>
        <v>0</v>
      </c>
      <c r="D35" s="151"/>
      <c r="E35" s="153">
        <v>57884.62</v>
      </c>
      <c r="F35" s="146">
        <f t="shared" si="0"/>
        <v>-57884.62</v>
      </c>
      <c r="G35" s="151"/>
      <c r="H35" s="153"/>
      <c r="I35" s="146">
        <f t="shared" si="1"/>
        <v>0</v>
      </c>
      <c r="J35" s="151"/>
    </row>
    <row r="36" spans="1:10">
      <c r="A36" s="155" t="s">
        <v>271</v>
      </c>
      <c r="B36" s="151">
        <f>14071.5+115077</f>
        <v>129148.5</v>
      </c>
      <c r="C36" s="146">
        <f t="shared" si="2"/>
        <v>425417.4</v>
      </c>
      <c r="D36" s="151">
        <v>554565.9</v>
      </c>
      <c r="E36" s="153">
        <f>344818.42+730309</f>
        <v>1075127.42</v>
      </c>
      <c r="F36" s="146">
        <f t="shared" si="0"/>
        <v>627232.45000000019</v>
      </c>
      <c r="G36" s="151">
        <f>198987.74+120200+441280+941892.13</f>
        <v>1702359.87</v>
      </c>
      <c r="H36" s="153">
        <v>699557.21</v>
      </c>
      <c r="I36" s="146">
        <f t="shared" si="1"/>
        <v>1502708.29</v>
      </c>
      <c r="J36" s="151">
        <f>184100+1210142+371201+188760+23612+119750+104700.5</f>
        <v>2202265.5</v>
      </c>
    </row>
    <row r="37" spans="1:10" s="57" customFormat="1" ht="27" customHeight="1">
      <c r="A37" s="164" t="s">
        <v>93</v>
      </c>
      <c r="B37" s="146">
        <f>B38+B39+B40+B41+B42+B43</f>
        <v>28847</v>
      </c>
      <c r="C37" s="146">
        <f t="shared" si="2"/>
        <v>12445.949999999997</v>
      </c>
      <c r="D37" s="146">
        <f>D41+D42</f>
        <v>41292.949999999997</v>
      </c>
      <c r="E37" s="146">
        <f>E38+E39+E40+E41+E42+E43</f>
        <v>115716</v>
      </c>
      <c r="F37" s="146">
        <f t="shared" si="0"/>
        <v>-114166</v>
      </c>
      <c r="G37" s="146">
        <f>G41+G42</f>
        <v>1550</v>
      </c>
      <c r="H37" s="146">
        <f>H38+H39+H40+H41+H42+H43</f>
        <v>309562</v>
      </c>
      <c r="I37" s="146">
        <f t="shared" si="1"/>
        <v>-224563.53999999998</v>
      </c>
      <c r="J37" s="146">
        <f>J41+J42</f>
        <v>84998.46</v>
      </c>
    </row>
    <row r="38" spans="1:10">
      <c r="A38" s="155" t="s">
        <v>272</v>
      </c>
      <c r="B38" s="151">
        <v>1230</v>
      </c>
      <c r="C38" s="146">
        <f t="shared" si="2"/>
        <v>-1230</v>
      </c>
      <c r="D38" s="151"/>
      <c r="E38" s="153">
        <v>5632</v>
      </c>
      <c r="F38" s="146">
        <f t="shared" si="0"/>
        <v>-5632</v>
      </c>
      <c r="G38" s="151"/>
      <c r="H38" s="153">
        <v>20263</v>
      </c>
      <c r="I38" s="146">
        <f t="shared" si="1"/>
        <v>-20263</v>
      </c>
      <c r="J38" s="151"/>
    </row>
    <row r="39" spans="1:10">
      <c r="A39" s="155" t="s">
        <v>273</v>
      </c>
      <c r="B39" s="151">
        <v>6321</v>
      </c>
      <c r="C39" s="146">
        <f t="shared" si="2"/>
        <v>-6321</v>
      </c>
      <c r="D39" s="151"/>
      <c r="E39" s="153">
        <v>9653</v>
      </c>
      <c r="F39" s="146">
        <f t="shared" si="0"/>
        <v>-9653</v>
      </c>
      <c r="G39" s="151"/>
      <c r="H39" s="153">
        <v>26353</v>
      </c>
      <c r="I39" s="146">
        <f t="shared" si="1"/>
        <v>-26353</v>
      </c>
      <c r="J39" s="151"/>
    </row>
    <row r="40" spans="1:10">
      <c r="A40" s="155" t="s">
        <v>274</v>
      </c>
      <c r="B40" s="151">
        <v>11230</v>
      </c>
      <c r="C40" s="146">
        <f t="shared" si="2"/>
        <v>-11230</v>
      </c>
      <c r="D40" s="151"/>
      <c r="E40" s="153">
        <v>59621</v>
      </c>
      <c r="F40" s="146">
        <f t="shared" si="0"/>
        <v>-59621</v>
      </c>
      <c r="G40" s="151"/>
      <c r="H40" s="153">
        <v>142501</v>
      </c>
      <c r="I40" s="146">
        <f t="shared" si="1"/>
        <v>-142501</v>
      </c>
      <c r="J40" s="151"/>
    </row>
    <row r="41" spans="1:10">
      <c r="A41" s="155" t="s">
        <v>275</v>
      </c>
      <c r="B41" s="151">
        <v>2135</v>
      </c>
      <c r="C41" s="146">
        <f t="shared" si="2"/>
        <v>4</v>
      </c>
      <c r="D41" s="151">
        <v>2139</v>
      </c>
      <c r="E41" s="153">
        <v>9684</v>
      </c>
      <c r="F41" s="146">
        <f t="shared" si="0"/>
        <v>-9684</v>
      </c>
      <c r="G41" s="151"/>
      <c r="H41" s="153">
        <v>12086</v>
      </c>
      <c r="I41" s="146">
        <f t="shared" si="1"/>
        <v>-9087.5400000000009</v>
      </c>
      <c r="J41" s="151">
        <v>2998.46</v>
      </c>
    </row>
    <row r="42" spans="1:10">
      <c r="A42" s="155" t="s">
        <v>276</v>
      </c>
      <c r="B42" s="151">
        <v>5321</v>
      </c>
      <c r="C42" s="146">
        <f t="shared" si="2"/>
        <v>33832.949999999997</v>
      </c>
      <c r="D42" s="151">
        <v>39153.949999999997</v>
      </c>
      <c r="E42" s="153">
        <v>26543</v>
      </c>
      <c r="F42" s="146">
        <f t="shared" si="0"/>
        <v>-24993</v>
      </c>
      <c r="G42" s="151">
        <v>1550</v>
      </c>
      <c r="H42" s="153">
        <v>98674</v>
      </c>
      <c r="I42" s="146">
        <f t="shared" si="1"/>
        <v>-16674</v>
      </c>
      <c r="J42" s="151">
        <v>82000</v>
      </c>
    </row>
    <row r="43" spans="1:10" ht="26.4" customHeight="1">
      <c r="A43" s="155" t="s">
        <v>277</v>
      </c>
      <c r="B43" s="151">
        <v>2610</v>
      </c>
      <c r="C43" s="146">
        <f t="shared" si="2"/>
        <v>-2610</v>
      </c>
      <c r="D43" s="151"/>
      <c r="E43" s="153">
        <v>4583</v>
      </c>
      <c r="F43" s="146">
        <f t="shared" si="0"/>
        <v>-4583</v>
      </c>
      <c r="G43" s="151"/>
      <c r="H43" s="153">
        <v>9685</v>
      </c>
      <c r="I43" s="146">
        <f t="shared" si="1"/>
        <v>-9685</v>
      </c>
      <c r="J43" s="151"/>
    </row>
    <row r="44" spans="1:10" s="57" customFormat="1" ht="28.2" customHeight="1">
      <c r="A44" s="157" t="s">
        <v>94</v>
      </c>
      <c r="B44" s="147">
        <f>固定资产折旧计算表!E3</f>
        <v>6364262.1533333296</v>
      </c>
      <c r="C44" s="147">
        <f>D44-B44</f>
        <v>-5328806.8533333298</v>
      </c>
      <c r="D44" s="146">
        <f>376529.2+658926.1</f>
        <v>1035455.3</v>
      </c>
      <c r="E44" s="147">
        <f>B44</f>
        <v>6364262.1533333296</v>
      </c>
      <c r="F44" s="146">
        <f t="shared" si="0"/>
        <v>-5234674.4933333294</v>
      </c>
      <c r="G44" s="146">
        <v>1129587.6599999999</v>
      </c>
      <c r="H44" s="147">
        <f>E44</f>
        <v>6364262.1533333296</v>
      </c>
      <c r="I44" s="146">
        <f t="shared" si="1"/>
        <v>-4983903.6033333298</v>
      </c>
      <c r="J44" s="146">
        <f>1321190+59168.55</f>
        <v>1380358.55</v>
      </c>
    </row>
    <row r="45" spans="1:10">
      <c r="A45" s="163" t="s">
        <v>278</v>
      </c>
      <c r="B45" s="151">
        <f>固定资产折旧计算表!E4</f>
        <v>4941858.62</v>
      </c>
      <c r="C45" s="146">
        <f t="shared" si="2"/>
        <v>-4941858.62</v>
      </c>
      <c r="D45" s="151"/>
      <c r="E45" s="151">
        <v>4931058.62</v>
      </c>
      <c r="F45" s="146">
        <f t="shared" si="0"/>
        <v>-4931058.62</v>
      </c>
      <c r="G45" s="151"/>
      <c r="H45" s="158">
        <v>4931058.62</v>
      </c>
      <c r="I45" s="146">
        <f t="shared" si="1"/>
        <v>-4931058.62</v>
      </c>
      <c r="J45" s="151"/>
    </row>
    <row r="46" spans="1:10">
      <c r="A46" s="148" t="s">
        <v>279</v>
      </c>
      <c r="B46" s="151">
        <f>固定资产折旧计算表!E9</f>
        <v>925422.53333333298</v>
      </c>
      <c r="C46" s="146">
        <f t="shared" si="2"/>
        <v>-925422.53333333298</v>
      </c>
      <c r="D46" s="151"/>
      <c r="E46" s="151">
        <v>925422.53333333298</v>
      </c>
      <c r="F46" s="146">
        <f t="shared" si="0"/>
        <v>-925422.53333333298</v>
      </c>
      <c r="G46" s="151"/>
      <c r="H46" s="158">
        <v>925422.53333333298</v>
      </c>
      <c r="I46" s="146">
        <f t="shared" si="1"/>
        <v>-925422.53333333298</v>
      </c>
      <c r="J46" s="151"/>
    </row>
    <row r="47" spans="1:10">
      <c r="A47" s="148" t="s">
        <v>280</v>
      </c>
      <c r="B47" s="151">
        <f>固定资产折旧计算表!E12</f>
        <v>65400</v>
      </c>
      <c r="C47" s="146">
        <f t="shared" si="2"/>
        <v>-65400</v>
      </c>
      <c r="D47" s="151"/>
      <c r="E47" s="151">
        <v>458920.2</v>
      </c>
      <c r="F47" s="146">
        <f t="shared" si="0"/>
        <v>-458920.2</v>
      </c>
      <c r="G47" s="151"/>
      <c r="H47" s="158">
        <v>458920.2</v>
      </c>
      <c r="I47" s="146">
        <f t="shared" si="1"/>
        <v>-458920.2</v>
      </c>
      <c r="J47" s="151"/>
    </row>
    <row r="48" spans="1:10">
      <c r="A48" s="148" t="s">
        <v>281</v>
      </c>
      <c r="B48" s="151">
        <f>固定资产折旧计算表!E19</f>
        <v>19809</v>
      </c>
      <c r="C48" s="146">
        <f t="shared" si="2"/>
        <v>-19809</v>
      </c>
      <c r="D48" s="151"/>
      <c r="E48" s="151">
        <v>38060.800000000003</v>
      </c>
      <c r="F48" s="146">
        <f t="shared" si="0"/>
        <v>-38060.800000000003</v>
      </c>
      <c r="G48" s="151"/>
      <c r="H48" s="158">
        <v>38060.800000000003</v>
      </c>
      <c r="I48" s="146">
        <f t="shared" si="1"/>
        <v>-38060.800000000003</v>
      </c>
      <c r="J48" s="151"/>
    </row>
    <row r="49" spans="1:10">
      <c r="A49" s="155" t="s">
        <v>282</v>
      </c>
      <c r="B49" s="151"/>
      <c r="C49" s="146">
        <f t="shared" si="2"/>
        <v>0</v>
      </c>
      <c r="D49" s="151"/>
      <c r="E49" s="153"/>
      <c r="F49" s="146">
        <f t="shared" si="0"/>
        <v>0</v>
      </c>
      <c r="G49" s="151"/>
      <c r="H49" s="153"/>
      <c r="I49" s="146">
        <f t="shared" si="1"/>
        <v>0</v>
      </c>
      <c r="J49" s="151"/>
    </row>
    <row r="50" spans="1:10" s="57" customFormat="1" ht="22.5" customHeight="1">
      <c r="A50" s="157" t="s">
        <v>95</v>
      </c>
      <c r="B50" s="146">
        <f>474926.12+831120.71</f>
        <v>1306046.83</v>
      </c>
      <c r="C50" s="146">
        <f t="shared" si="2"/>
        <v>0</v>
      </c>
      <c r="D50" s="146">
        <v>1306046.83</v>
      </c>
      <c r="E50" s="147">
        <v>1424778.36</v>
      </c>
      <c r="F50" s="146">
        <f t="shared" si="0"/>
        <v>0</v>
      </c>
      <c r="G50" s="146">
        <v>1424778.36</v>
      </c>
      <c r="H50" s="147">
        <v>1424778.36</v>
      </c>
      <c r="I50" s="146">
        <f t="shared" si="1"/>
        <v>0</v>
      </c>
      <c r="J50" s="147">
        <f>H50</f>
        <v>1424778.36</v>
      </c>
    </row>
    <row r="51" spans="1:10" s="57" customFormat="1">
      <c r="A51" s="159" t="s">
        <v>96</v>
      </c>
      <c r="B51" s="160">
        <f>B52+B54</f>
        <v>753335.69</v>
      </c>
      <c r="C51" s="146">
        <f t="shared" si="2"/>
        <v>-100397.27999999991</v>
      </c>
      <c r="D51" s="160">
        <f>D52+D53+D54</f>
        <v>652938.41</v>
      </c>
      <c r="E51" s="160">
        <f>E52+E54</f>
        <v>995491.27</v>
      </c>
      <c r="F51" s="146">
        <f t="shared" si="0"/>
        <v>-850000</v>
      </c>
      <c r="G51" s="160">
        <f>G52+G53+G54</f>
        <v>145491.27000000002</v>
      </c>
      <c r="H51" s="160">
        <f>H52+H54</f>
        <v>1378526.52</v>
      </c>
      <c r="I51" s="146">
        <f t="shared" si="1"/>
        <v>-1047951.8200000001</v>
      </c>
      <c r="J51" s="146">
        <v>330574.7</v>
      </c>
    </row>
    <row r="52" spans="1:10">
      <c r="A52" s="149" t="s">
        <v>283</v>
      </c>
      <c r="B52" s="151">
        <f>184252.21+565080.69+4002.79</f>
        <v>753335.69</v>
      </c>
      <c r="C52" s="146">
        <f t="shared" si="2"/>
        <v>-104400.06999999995</v>
      </c>
      <c r="D52" s="151">
        <f>565080.69+50854.93+33000</f>
        <v>648935.62</v>
      </c>
      <c r="E52" s="153">
        <v>995491.27</v>
      </c>
      <c r="F52" s="146">
        <f t="shared" si="0"/>
        <v>-874470.75</v>
      </c>
      <c r="G52" s="151">
        <f>72520.52+48500</f>
        <v>121020.52</v>
      </c>
      <c r="H52" s="153">
        <v>1378526.52</v>
      </c>
      <c r="I52" s="146">
        <f t="shared" si="1"/>
        <v>-1047951.8200000001</v>
      </c>
      <c r="J52" s="151">
        <v>330574.7</v>
      </c>
    </row>
    <row r="53" spans="1:10">
      <c r="A53" s="149" t="s">
        <v>284</v>
      </c>
      <c r="B53" s="151"/>
      <c r="C53" s="146">
        <f t="shared" si="2"/>
        <v>0</v>
      </c>
      <c r="D53" s="151"/>
      <c r="E53" s="153"/>
      <c r="F53" s="146">
        <f t="shared" si="0"/>
        <v>0</v>
      </c>
      <c r="G53" s="151"/>
      <c r="H53" s="153"/>
      <c r="I53" s="146">
        <f t="shared" si="1"/>
        <v>0</v>
      </c>
      <c r="J53" s="151"/>
    </row>
    <row r="54" spans="1:10">
      <c r="A54" s="149" t="s">
        <v>285</v>
      </c>
      <c r="B54" s="151"/>
      <c r="C54" s="146">
        <f t="shared" si="2"/>
        <v>4002.79</v>
      </c>
      <c r="D54" s="151">
        <v>4002.79</v>
      </c>
      <c r="E54" s="153"/>
      <c r="F54" s="146">
        <f t="shared" si="0"/>
        <v>24470.75</v>
      </c>
      <c r="G54" s="151">
        <v>24470.75</v>
      </c>
      <c r="H54" s="153"/>
      <c r="I54" s="146">
        <f t="shared" si="1"/>
        <v>0</v>
      </c>
      <c r="J54" s="151"/>
    </row>
    <row r="55" spans="1:10" s="57" customFormat="1">
      <c r="A55" s="159" t="s">
        <v>97</v>
      </c>
      <c r="B55" s="146">
        <f>B52+B44+B37+B50+B12+B5</f>
        <v>43258215.833333328</v>
      </c>
      <c r="C55" s="146">
        <f t="shared" si="2"/>
        <v>-30575032.703333326</v>
      </c>
      <c r="D55" s="146">
        <f>D51+D50+D44+D37+D12+D5</f>
        <v>12683183.130000001</v>
      </c>
      <c r="E55" s="147">
        <f>E52+E50+E44+E37+E12+E5</f>
        <v>65019377.673333332</v>
      </c>
      <c r="F55" s="146">
        <f t="shared" si="0"/>
        <v>-47262736.553333327</v>
      </c>
      <c r="G55" s="146">
        <f>G51+G50+G44+G37+G12+G5</f>
        <v>17756641.120000001</v>
      </c>
      <c r="H55" s="147">
        <f>H52+H50+H44+H37+H12+H5</f>
        <v>87988356.073333323</v>
      </c>
      <c r="I55" s="146">
        <f t="shared" si="1"/>
        <v>-66700171.433333322</v>
      </c>
      <c r="J55" s="146">
        <f>J51+J50+J44+J37+J12+J5</f>
        <v>21288184.640000001</v>
      </c>
    </row>
    <row r="56" spans="1:10">
      <c r="A56" s="161"/>
      <c r="B56" s="161"/>
      <c r="C56" s="161"/>
      <c r="D56" s="161"/>
      <c r="E56" s="161"/>
      <c r="F56" s="161"/>
      <c r="G56" s="161"/>
      <c r="H56" s="161"/>
      <c r="I56" s="161"/>
      <c r="J56" s="161"/>
    </row>
    <row r="57" spans="1:10" hidden="1">
      <c r="A57" t="s">
        <v>98</v>
      </c>
      <c r="B57">
        <f>收入情况表!B27</f>
        <v>11423100.699999999</v>
      </c>
      <c r="E57">
        <f>收入情况表!C27</f>
        <v>17082756.32</v>
      </c>
      <c r="H57">
        <f>收入情况表!D27</f>
        <v>25119520</v>
      </c>
    </row>
    <row r="58" spans="1:10" hidden="1">
      <c r="A58" t="s">
        <v>84</v>
      </c>
      <c r="B58">
        <f>B57-B55</f>
        <v>-31835115.133333329</v>
      </c>
      <c r="E58">
        <f>E57-E55</f>
        <v>-47936621.353333332</v>
      </c>
      <c r="H58">
        <f>H57-H55</f>
        <v>-62868836.073333323</v>
      </c>
    </row>
  </sheetData>
  <mergeCells count="1">
    <mergeCell ref="A2:J2"/>
  </mergeCells>
  <phoneticPr fontId="40" type="noConversion"/>
  <pageMargins left="0.51180555555555596" right="0.51180555555555596" top="0.196527777777778" bottom="0.196527777777778" header="7.7777777777777807E-2" footer="0.118055555555556"/>
  <pageSetup paperSize="9" orientation="landscape" r:id="rId1"/>
</worksheet>
</file>

<file path=xl/worksheets/sheet5.xml><?xml version="1.0" encoding="utf-8"?>
<worksheet xmlns="http://schemas.openxmlformats.org/spreadsheetml/2006/main" xmlns:r="http://schemas.openxmlformats.org/officeDocument/2006/relationships">
  <dimension ref="A1:D27"/>
  <sheetViews>
    <sheetView topLeftCell="A19" workbookViewId="0">
      <selection activeCell="F26" sqref="F26"/>
    </sheetView>
  </sheetViews>
  <sheetFormatPr defaultColWidth="9" defaultRowHeight="14.4"/>
  <cols>
    <col min="1" max="1" width="43.33203125" customWidth="1"/>
    <col min="2" max="2" width="15.109375" customWidth="1"/>
    <col min="3" max="3" width="15.33203125" customWidth="1"/>
    <col min="4" max="4" width="15.21875" customWidth="1"/>
    <col min="9" max="9" width="12.6640625"/>
  </cols>
  <sheetData>
    <row r="1" spans="1:4" ht="21.6">
      <c r="A1" s="38" t="s">
        <v>99</v>
      </c>
      <c r="B1" s="39"/>
    </row>
    <row r="2" spans="1:4" ht="25.5" customHeight="1">
      <c r="A2" s="142" t="s">
        <v>211</v>
      </c>
      <c r="B2" s="142"/>
      <c r="C2" s="142"/>
      <c r="D2" s="142"/>
    </row>
    <row r="3" spans="1:4">
      <c r="A3" s="123"/>
      <c r="B3" s="123"/>
    </row>
    <row r="4" spans="1:4" ht="43.5" customHeight="1">
      <c r="A4" s="40" t="s">
        <v>100</v>
      </c>
      <c r="B4" s="41" t="s">
        <v>101</v>
      </c>
      <c r="C4" s="41" t="s">
        <v>20</v>
      </c>
      <c r="D4" s="41" t="s">
        <v>21</v>
      </c>
    </row>
    <row r="5" spans="1:4" ht="25.95" customHeight="1">
      <c r="A5" s="42" t="s">
        <v>102</v>
      </c>
      <c r="B5" s="43"/>
      <c r="C5" s="43"/>
      <c r="D5" s="43"/>
    </row>
    <row r="6" spans="1:4" ht="25.95" customHeight="1">
      <c r="A6" s="44" t="s">
        <v>103</v>
      </c>
      <c r="B6" s="45">
        <v>1126</v>
      </c>
      <c r="C6" s="46">
        <v>1373</v>
      </c>
      <c r="D6" s="46">
        <v>1663</v>
      </c>
    </row>
    <row r="7" spans="1:4" ht="25.95" customHeight="1">
      <c r="A7" s="44" t="s">
        <v>104</v>
      </c>
      <c r="B7" s="28">
        <v>121</v>
      </c>
      <c r="C7" s="28">
        <v>147</v>
      </c>
      <c r="D7" s="28">
        <v>167</v>
      </c>
    </row>
    <row r="8" spans="1:4" ht="25.95" customHeight="1">
      <c r="A8" s="47" t="s">
        <v>105</v>
      </c>
      <c r="B8" s="48"/>
      <c r="C8" s="48"/>
      <c r="D8" s="48"/>
    </row>
    <row r="9" spans="1:4" ht="25.95" customHeight="1">
      <c r="A9" s="49" t="s">
        <v>106</v>
      </c>
      <c r="B9" s="50">
        <v>0.14799999999999999</v>
      </c>
      <c r="C9" s="50">
        <v>0.14899999999999999</v>
      </c>
      <c r="D9" s="50">
        <v>0.14899999999999999</v>
      </c>
    </row>
    <row r="10" spans="1:4" ht="25.95" customHeight="1">
      <c r="A10" s="47" t="s">
        <v>107</v>
      </c>
      <c r="B10" s="51"/>
      <c r="C10" s="51"/>
      <c r="D10" s="51"/>
    </row>
    <row r="11" spans="1:4" ht="25.95" customHeight="1">
      <c r="A11" s="44" t="s">
        <v>108</v>
      </c>
      <c r="B11" s="52" t="s">
        <v>203</v>
      </c>
      <c r="C11" s="52" t="s">
        <v>204</v>
      </c>
      <c r="D11" s="52" t="s">
        <v>205</v>
      </c>
    </row>
    <row r="12" spans="1:4" ht="25.95" customHeight="1">
      <c r="A12" s="44" t="s">
        <v>109</v>
      </c>
      <c r="B12" s="52" t="s">
        <v>206</v>
      </c>
      <c r="C12" s="52" t="s">
        <v>207</v>
      </c>
      <c r="D12" s="52" t="s">
        <v>208</v>
      </c>
    </row>
    <row r="13" spans="1:4" ht="25.95" customHeight="1">
      <c r="A13" s="44" t="s">
        <v>110</v>
      </c>
      <c r="B13" s="51"/>
      <c r="C13" s="51"/>
      <c r="D13" s="51"/>
    </row>
    <row r="14" spans="1:4" ht="25.95" customHeight="1">
      <c r="A14" s="47" t="s">
        <v>111</v>
      </c>
      <c r="B14" s="88">
        <f>B15+B16+B17+B18+B19+B20</f>
        <v>12683183.130000001</v>
      </c>
      <c r="C14" s="88">
        <f>C15+C16+C17+C18+C19+C20</f>
        <v>17756641.119999997</v>
      </c>
      <c r="D14" s="88">
        <f>D15+D16+D17+D18+D19+D20</f>
        <v>21288184.640000001</v>
      </c>
    </row>
    <row r="15" spans="1:4" ht="25.95" customHeight="1">
      <c r="A15" s="44" t="s">
        <v>112</v>
      </c>
      <c r="B15" s="54">
        <f>教育成本归集表!D5</f>
        <v>7332511.4800000004</v>
      </c>
      <c r="C15" s="54">
        <f>教育成本归集表!G5</f>
        <v>10568781.689999999</v>
      </c>
      <c r="D15" s="54">
        <f>教育成本归集表!J5</f>
        <v>13010650.119999999</v>
      </c>
    </row>
    <row r="16" spans="1:4" ht="25.95" customHeight="1">
      <c r="A16" s="44" t="s">
        <v>113</v>
      </c>
      <c r="B16" s="54">
        <v>2314938.16</v>
      </c>
      <c r="C16" s="54">
        <v>4486452.1399999997</v>
      </c>
      <c r="D16" s="54">
        <v>5056824.45</v>
      </c>
    </row>
    <row r="17" spans="1:4" ht="25.95" customHeight="1">
      <c r="A17" s="44" t="s">
        <v>114</v>
      </c>
      <c r="B17" s="54">
        <v>41292.949999999997</v>
      </c>
      <c r="C17" s="54">
        <v>1550</v>
      </c>
      <c r="D17" s="54">
        <v>84998.46</v>
      </c>
    </row>
    <row r="18" spans="1:4" ht="25.95" customHeight="1">
      <c r="A18" s="44" t="s">
        <v>115</v>
      </c>
      <c r="B18" s="54">
        <v>1035455.3</v>
      </c>
      <c r="C18" s="54">
        <v>1129587.6599999999</v>
      </c>
      <c r="D18" s="54">
        <v>1380358.55</v>
      </c>
    </row>
    <row r="19" spans="1:4" ht="25.95" customHeight="1">
      <c r="A19" s="55" t="s">
        <v>116</v>
      </c>
      <c r="B19" s="54">
        <v>1306046.83</v>
      </c>
      <c r="C19" s="54">
        <v>1424778.36</v>
      </c>
      <c r="D19" s="54">
        <f>教育成本归集表!J50</f>
        <v>1424778.36</v>
      </c>
    </row>
    <row r="20" spans="1:4" ht="25.95" customHeight="1">
      <c r="A20" s="44" t="s">
        <v>117</v>
      </c>
      <c r="B20" s="54">
        <v>652938.41</v>
      </c>
      <c r="C20" s="54">
        <v>145491.26999999999</v>
      </c>
      <c r="D20" s="54">
        <v>330574.7</v>
      </c>
    </row>
    <row r="21" spans="1:4" ht="25.95" customHeight="1">
      <c r="A21" s="47" t="s">
        <v>118</v>
      </c>
      <c r="B21" s="56">
        <v>738371.7</v>
      </c>
      <c r="C21" s="56">
        <v>875462.32</v>
      </c>
      <c r="D21" s="56">
        <v>970000</v>
      </c>
    </row>
    <row r="22" spans="1:4" ht="25.95" customHeight="1">
      <c r="A22" s="47" t="s">
        <v>119</v>
      </c>
      <c r="B22" s="54">
        <f>B14-B21</f>
        <v>11944811.430000002</v>
      </c>
      <c r="C22" s="54">
        <f t="shared" ref="C22:D22" si="0">C14-C21</f>
        <v>16881178.799999997</v>
      </c>
      <c r="D22" s="54">
        <f t="shared" si="0"/>
        <v>20318184.640000001</v>
      </c>
    </row>
    <row r="23" spans="1:4" ht="25.95" customHeight="1">
      <c r="A23" s="47" t="s">
        <v>120</v>
      </c>
      <c r="B23" s="53">
        <f>B22/B6</f>
        <v>10608.180666074602</v>
      </c>
      <c r="C23" s="88">
        <f t="shared" ref="C23" si="1">C22/C6</f>
        <v>12295.104734158775</v>
      </c>
      <c r="D23" s="88">
        <f>D22/D6</f>
        <v>12217.789921828022</v>
      </c>
    </row>
    <row r="24" spans="1:4" ht="25.95" customHeight="1">
      <c r="A24" s="44" t="s">
        <v>121</v>
      </c>
      <c r="B24" s="54">
        <f>B23*0.56</f>
        <v>5940.5811730017776</v>
      </c>
      <c r="C24" s="54">
        <f t="shared" ref="C24:D24" si="2">C23*0.56</f>
        <v>6885.2586511289146</v>
      </c>
      <c r="D24" s="54">
        <f t="shared" si="2"/>
        <v>6841.962356223693</v>
      </c>
    </row>
    <row r="25" spans="1:4" ht="25.95" customHeight="1">
      <c r="A25" s="44" t="s">
        <v>122</v>
      </c>
      <c r="B25" s="54">
        <f>B23*0.8</f>
        <v>8486.5445328596816</v>
      </c>
      <c r="C25" s="54">
        <f t="shared" ref="C25:D25" si="3">C23*0.8</f>
        <v>9836.0837873270211</v>
      </c>
      <c r="D25" s="54">
        <f t="shared" si="3"/>
        <v>9774.2319374624185</v>
      </c>
    </row>
    <row r="26" spans="1:4" ht="25.95" customHeight="1">
      <c r="A26" s="104" t="s">
        <v>209</v>
      </c>
      <c r="B26" s="124">
        <f>(B24+C24+D24)/3</f>
        <v>6555.9340601181284</v>
      </c>
      <c r="C26" s="124"/>
      <c r="D26" s="124"/>
    </row>
    <row r="27" spans="1:4" ht="25.95" customHeight="1">
      <c r="A27" s="104" t="s">
        <v>210</v>
      </c>
      <c r="B27" s="124">
        <f>(B25+C25+D25)/3</f>
        <v>9365.6200858830416</v>
      </c>
      <c r="C27" s="124"/>
      <c r="D27" s="124"/>
    </row>
  </sheetData>
  <mergeCells count="4">
    <mergeCell ref="A2:D2"/>
    <mergeCell ref="A3:B3"/>
    <mergeCell ref="B26:D26"/>
    <mergeCell ref="B27:D27"/>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W75"/>
  <sheetViews>
    <sheetView topLeftCell="B1" workbookViewId="0">
      <selection activeCell="K7" sqref="K7"/>
    </sheetView>
  </sheetViews>
  <sheetFormatPr defaultColWidth="9" defaultRowHeight="14.4"/>
  <cols>
    <col min="1" max="1" width="9" hidden="1" customWidth="1"/>
    <col min="2" max="3" width="5.21875" customWidth="1"/>
    <col min="4" max="4" width="20.33203125" customWidth="1"/>
    <col min="7" max="7" width="5.33203125" customWidth="1"/>
    <col min="8" max="8" width="6.44140625" customWidth="1"/>
    <col min="9" max="9" width="5.33203125" customWidth="1"/>
    <col min="10" max="10" width="5.21875" customWidth="1"/>
    <col min="11" max="11" width="5.44140625" customWidth="1"/>
    <col min="12" max="12" width="6.109375" customWidth="1"/>
    <col min="13" max="13" width="5.44140625" customWidth="1"/>
    <col min="14" max="14" width="5" customWidth="1"/>
    <col min="15" max="15" width="5.33203125" customWidth="1"/>
    <col min="16" max="16" width="6" customWidth="1"/>
    <col min="17" max="17" width="4.44140625" customWidth="1"/>
    <col min="18" max="18" width="5.6640625" customWidth="1"/>
    <col min="19" max="19" width="10" customWidth="1"/>
    <col min="20" max="20" width="5.88671875" customWidth="1"/>
    <col min="21" max="21" width="9.6640625" customWidth="1"/>
    <col min="22" max="22" width="11.33203125" customWidth="1"/>
    <col min="23" max="23" width="9.109375" customWidth="1"/>
  </cols>
  <sheetData>
    <row r="1" spans="2:23" ht="40.799999999999997" customHeight="1">
      <c r="C1" s="165" t="s">
        <v>123</v>
      </c>
      <c r="D1" s="165"/>
      <c r="E1" s="165"/>
      <c r="F1" s="165"/>
      <c r="G1" s="165"/>
      <c r="H1" s="165"/>
      <c r="I1" s="165"/>
      <c r="J1" s="165"/>
      <c r="K1" s="165"/>
      <c r="L1" s="165"/>
      <c r="M1" s="165"/>
      <c r="N1" s="165"/>
      <c r="O1" s="165"/>
      <c r="P1" s="165"/>
      <c r="Q1" s="165"/>
      <c r="R1" s="37"/>
      <c r="S1" s="186" t="s">
        <v>216</v>
      </c>
      <c r="T1" s="186"/>
      <c r="U1" s="186"/>
      <c r="V1" s="186"/>
      <c r="W1" s="186"/>
    </row>
    <row r="2" spans="2:23" ht="28.2" customHeight="1">
      <c r="B2" s="171" t="s">
        <v>124</v>
      </c>
      <c r="C2" s="125" t="s">
        <v>125</v>
      </c>
      <c r="D2" s="125" t="s">
        <v>126</v>
      </c>
      <c r="E2" s="125" t="s">
        <v>127</v>
      </c>
      <c r="F2" s="125" t="s">
        <v>128</v>
      </c>
      <c r="G2" s="184" t="s">
        <v>129</v>
      </c>
      <c r="H2" s="184"/>
      <c r="I2" s="184" t="s">
        <v>130</v>
      </c>
      <c r="J2" s="184"/>
      <c r="K2" s="184" t="s">
        <v>131</v>
      </c>
      <c r="L2" s="184"/>
      <c r="M2" s="184" t="s">
        <v>132</v>
      </c>
      <c r="N2" s="184"/>
      <c r="O2" s="184" t="s">
        <v>133</v>
      </c>
      <c r="P2" s="184"/>
      <c r="Q2" s="184" t="s">
        <v>134</v>
      </c>
      <c r="R2" s="184"/>
      <c r="S2" s="183" t="s">
        <v>293</v>
      </c>
      <c r="T2" s="183" t="s">
        <v>294</v>
      </c>
      <c r="U2" s="183" t="s">
        <v>295</v>
      </c>
      <c r="V2" s="183" t="s">
        <v>296</v>
      </c>
      <c r="W2" s="183" t="s">
        <v>297</v>
      </c>
    </row>
    <row r="3" spans="2:23" ht="31.8" customHeight="1">
      <c r="B3" s="171"/>
      <c r="C3" s="125"/>
      <c r="D3" s="125"/>
      <c r="E3" s="125"/>
      <c r="F3" s="125"/>
      <c r="G3" s="114" t="s">
        <v>127</v>
      </c>
      <c r="H3" s="114" t="s">
        <v>135</v>
      </c>
      <c r="I3" s="114" t="s">
        <v>127</v>
      </c>
      <c r="J3" s="114" t="s">
        <v>135</v>
      </c>
      <c r="K3" s="114" t="s">
        <v>127</v>
      </c>
      <c r="L3" s="114" t="s">
        <v>135</v>
      </c>
      <c r="M3" s="114" t="s">
        <v>127</v>
      </c>
      <c r="N3" s="114" t="s">
        <v>135</v>
      </c>
      <c r="O3" s="114" t="s">
        <v>127</v>
      </c>
      <c r="P3" s="114" t="s">
        <v>135</v>
      </c>
      <c r="Q3" s="114" t="s">
        <v>127</v>
      </c>
      <c r="R3" s="114" t="s">
        <v>135</v>
      </c>
      <c r="S3" s="172" t="s">
        <v>199</v>
      </c>
      <c r="T3" s="172"/>
      <c r="U3" s="172"/>
      <c r="V3" s="172"/>
      <c r="W3" s="172"/>
    </row>
    <row r="4" spans="2:23" ht="18" customHeight="1">
      <c r="B4" s="171">
        <v>2019</v>
      </c>
      <c r="C4" s="125" t="s">
        <v>136</v>
      </c>
      <c r="D4" s="114" t="s">
        <v>137</v>
      </c>
      <c r="E4" s="32">
        <f>G4+I4+K4+M4+O4+Q4</f>
        <v>21</v>
      </c>
      <c r="F4" s="32">
        <f>H4+J4+L4+N4+P4+R4</f>
        <v>965</v>
      </c>
      <c r="G4" s="33">
        <v>3</v>
      </c>
      <c r="H4" s="33">
        <v>135</v>
      </c>
      <c r="I4" s="33">
        <v>4</v>
      </c>
      <c r="J4" s="33">
        <v>159</v>
      </c>
      <c r="K4" s="33">
        <v>3</v>
      </c>
      <c r="L4" s="33">
        <v>144</v>
      </c>
      <c r="M4" s="33">
        <v>4</v>
      </c>
      <c r="N4" s="33">
        <v>205</v>
      </c>
      <c r="O4" s="33">
        <v>3</v>
      </c>
      <c r="P4" s="33">
        <v>141</v>
      </c>
      <c r="Q4" s="33">
        <v>4</v>
      </c>
      <c r="R4" s="33">
        <v>181</v>
      </c>
      <c r="S4" s="176" t="s">
        <v>288</v>
      </c>
      <c r="T4" s="176"/>
      <c r="U4" s="176">
        <f>F4</f>
        <v>965</v>
      </c>
      <c r="V4" s="176">
        <f>F7</f>
        <v>1091</v>
      </c>
      <c r="W4" s="185">
        <f>(U4*8+V4*4)/12</f>
        <v>1007</v>
      </c>
    </row>
    <row r="5" spans="2:23" ht="18" customHeight="1">
      <c r="B5" s="171"/>
      <c r="C5" s="125"/>
      <c r="D5" s="114" t="s">
        <v>138</v>
      </c>
      <c r="E5" s="32">
        <f>G5+I5+K5+M5+O5+Q5</f>
        <v>14</v>
      </c>
      <c r="F5" s="32">
        <f t="shared" ref="F5:F22" si="0">H5+J5+L5+N5+P5+R5</f>
        <v>643</v>
      </c>
      <c r="G5" s="33">
        <v>6</v>
      </c>
      <c r="H5" s="33">
        <v>235</v>
      </c>
      <c r="I5" s="33">
        <v>4</v>
      </c>
      <c r="J5" s="33">
        <v>212</v>
      </c>
      <c r="K5" s="33">
        <v>4</v>
      </c>
      <c r="L5" s="33">
        <v>196</v>
      </c>
      <c r="M5" s="33"/>
      <c r="N5" s="33"/>
      <c r="O5" s="33"/>
      <c r="P5" s="33"/>
      <c r="Q5" s="33"/>
      <c r="R5" s="173"/>
      <c r="S5" s="176" t="s">
        <v>290</v>
      </c>
      <c r="T5" s="176"/>
      <c r="U5" s="176">
        <f>F11</f>
        <v>1176</v>
      </c>
      <c r="V5" s="176">
        <f>F14</f>
        <v>1124</v>
      </c>
      <c r="W5" s="185">
        <f t="shared" ref="W5:W6" si="1">(U5*8+V5*4)/12</f>
        <v>1158.6666666666667</v>
      </c>
    </row>
    <row r="6" spans="2:23" ht="18" customHeight="1">
      <c r="B6" s="171"/>
      <c r="C6" s="125"/>
      <c r="D6" s="114" t="s">
        <v>81</v>
      </c>
      <c r="E6" s="32">
        <f>E4+E5</f>
        <v>35</v>
      </c>
      <c r="F6" s="32">
        <f>F4+F5</f>
        <v>1608</v>
      </c>
      <c r="G6" s="32"/>
      <c r="H6" s="32"/>
      <c r="I6" s="32"/>
      <c r="J6" s="32"/>
      <c r="K6" s="32"/>
      <c r="L6" s="32"/>
      <c r="M6" s="32"/>
      <c r="N6" s="32"/>
      <c r="O6" s="32"/>
      <c r="P6" s="32"/>
      <c r="Q6" s="32"/>
      <c r="R6" s="32"/>
      <c r="S6" s="176" t="s">
        <v>292</v>
      </c>
      <c r="T6" s="176"/>
      <c r="U6" s="176">
        <f>F18</f>
        <v>1369</v>
      </c>
      <c r="V6" s="176">
        <f>F21</f>
        <v>1367</v>
      </c>
      <c r="W6" s="185">
        <f t="shared" si="1"/>
        <v>1368.3333333333333</v>
      </c>
    </row>
    <row r="7" spans="2:23" ht="18" customHeight="1">
      <c r="B7" s="171"/>
      <c r="C7" s="125" t="s">
        <v>139</v>
      </c>
      <c r="D7" s="114" t="s">
        <v>137</v>
      </c>
      <c r="E7" s="34">
        <v>24</v>
      </c>
      <c r="F7" s="32">
        <f t="shared" si="0"/>
        <v>1091</v>
      </c>
      <c r="G7" s="34">
        <v>3</v>
      </c>
      <c r="H7" s="34">
        <v>109</v>
      </c>
      <c r="I7" s="34">
        <v>4</v>
      </c>
      <c r="J7" s="34">
        <v>164</v>
      </c>
      <c r="K7" s="34">
        <v>4</v>
      </c>
      <c r="L7" s="34">
        <v>177</v>
      </c>
      <c r="M7" s="35">
        <v>4</v>
      </c>
      <c r="N7" s="35">
        <v>180</v>
      </c>
      <c r="O7" s="35">
        <v>5</v>
      </c>
      <c r="P7" s="35">
        <v>268</v>
      </c>
      <c r="Q7" s="35">
        <v>4</v>
      </c>
      <c r="R7" s="35">
        <v>193</v>
      </c>
      <c r="S7" s="176"/>
      <c r="T7" s="176"/>
      <c r="U7" s="176"/>
      <c r="V7" s="176"/>
      <c r="W7" s="176"/>
    </row>
    <row r="8" spans="2:23" ht="18" customHeight="1">
      <c r="B8" s="171"/>
      <c r="C8" s="125"/>
      <c r="D8" s="114" t="s">
        <v>138</v>
      </c>
      <c r="E8" s="35">
        <v>18</v>
      </c>
      <c r="F8" s="32">
        <f t="shared" si="0"/>
        <v>822</v>
      </c>
      <c r="G8" s="35">
        <v>8</v>
      </c>
      <c r="H8" s="35">
        <v>372</v>
      </c>
      <c r="I8" s="35">
        <v>6</v>
      </c>
      <c r="J8" s="35">
        <v>241</v>
      </c>
      <c r="K8" s="35">
        <v>4</v>
      </c>
      <c r="L8" s="35">
        <v>209</v>
      </c>
      <c r="M8" s="32"/>
      <c r="N8" s="32"/>
      <c r="O8" s="32"/>
      <c r="P8" s="32"/>
      <c r="Q8" s="32"/>
      <c r="R8" s="32"/>
      <c r="S8" s="176"/>
      <c r="T8" s="176"/>
      <c r="U8" s="176"/>
      <c r="V8" s="176"/>
      <c r="W8" s="176"/>
    </row>
    <row r="9" spans="2:23" ht="30" customHeight="1">
      <c r="B9" s="171"/>
      <c r="C9" s="125"/>
      <c r="D9" s="114" t="s">
        <v>81</v>
      </c>
      <c r="E9" s="32">
        <f>E7+E8</f>
        <v>42</v>
      </c>
      <c r="F9" s="32">
        <f>F7+F8</f>
        <v>1913</v>
      </c>
      <c r="G9" s="32"/>
      <c r="H9" s="32"/>
      <c r="I9" s="32"/>
      <c r="J9" s="32"/>
      <c r="K9" s="32"/>
      <c r="L9" s="32"/>
      <c r="M9" s="32"/>
      <c r="N9" s="32"/>
      <c r="O9" s="32"/>
      <c r="P9" s="32"/>
      <c r="Q9" s="32"/>
      <c r="R9" s="32"/>
      <c r="S9" s="183" t="s">
        <v>293</v>
      </c>
      <c r="T9" s="183" t="s">
        <v>294</v>
      </c>
      <c r="U9" s="183" t="s">
        <v>295</v>
      </c>
      <c r="V9" s="183" t="s">
        <v>296</v>
      </c>
      <c r="W9" s="183" t="s">
        <v>297</v>
      </c>
    </row>
    <row r="10" spans="2:23" ht="18" customHeight="1">
      <c r="B10" s="171"/>
      <c r="C10" s="125" t="s">
        <v>140</v>
      </c>
      <c r="D10" s="125"/>
      <c r="E10" s="32">
        <f>E9+E6</f>
        <v>77</v>
      </c>
      <c r="F10" s="32">
        <f t="shared" si="0"/>
        <v>0</v>
      </c>
      <c r="G10" s="32"/>
      <c r="H10" s="32"/>
      <c r="I10" s="32"/>
      <c r="J10" s="32"/>
      <c r="K10" s="32"/>
      <c r="L10" s="32"/>
      <c r="M10" s="32"/>
      <c r="N10" s="32"/>
      <c r="O10" s="32"/>
      <c r="P10" s="32"/>
      <c r="Q10" s="32"/>
      <c r="R10" s="32"/>
      <c r="S10" s="176" t="s">
        <v>298</v>
      </c>
      <c r="T10" s="176"/>
      <c r="U10" s="176"/>
      <c r="V10" s="176"/>
      <c r="W10" s="176"/>
    </row>
    <row r="11" spans="2:23" ht="18" customHeight="1">
      <c r="B11" s="171">
        <v>2020</v>
      </c>
      <c r="C11" s="125" t="s">
        <v>136</v>
      </c>
      <c r="D11" s="114" t="s">
        <v>137</v>
      </c>
      <c r="E11" s="32">
        <v>24</v>
      </c>
      <c r="F11" s="32">
        <f t="shared" si="0"/>
        <v>1176</v>
      </c>
      <c r="G11" s="33">
        <v>3</v>
      </c>
      <c r="H11" s="33">
        <v>130</v>
      </c>
      <c r="I11" s="33">
        <v>4</v>
      </c>
      <c r="J11" s="33">
        <v>180</v>
      </c>
      <c r="K11" s="33">
        <v>4</v>
      </c>
      <c r="L11" s="33">
        <v>200</v>
      </c>
      <c r="M11" s="33">
        <v>4</v>
      </c>
      <c r="N11" s="33">
        <v>196</v>
      </c>
      <c r="O11" s="33">
        <v>6</v>
      </c>
      <c r="P11" s="33">
        <v>267</v>
      </c>
      <c r="Q11" s="33">
        <v>4</v>
      </c>
      <c r="R11" s="173">
        <v>203</v>
      </c>
      <c r="S11" s="176" t="s">
        <v>288</v>
      </c>
      <c r="T11" s="176"/>
      <c r="U11" s="176">
        <f>F5</f>
        <v>643</v>
      </c>
      <c r="V11" s="176">
        <f>F8</f>
        <v>822</v>
      </c>
      <c r="W11" s="185">
        <f>(U11*8+V11*4)/12</f>
        <v>702.66666666666663</v>
      </c>
    </row>
    <row r="12" spans="2:23" ht="18" customHeight="1">
      <c r="B12" s="171"/>
      <c r="C12" s="125"/>
      <c r="D12" s="114" t="s">
        <v>138</v>
      </c>
      <c r="E12" s="173">
        <f>G12+I12+K12</f>
        <v>19</v>
      </c>
      <c r="F12" s="32">
        <f t="shared" si="0"/>
        <v>893</v>
      </c>
      <c r="G12" s="34">
        <v>9</v>
      </c>
      <c r="H12" s="34">
        <v>401</v>
      </c>
      <c r="I12" s="34">
        <v>6</v>
      </c>
      <c r="J12" s="34">
        <v>302</v>
      </c>
      <c r="K12" s="34">
        <v>4</v>
      </c>
      <c r="L12" s="34">
        <v>190</v>
      </c>
      <c r="M12" s="33"/>
      <c r="N12" s="33"/>
      <c r="O12" s="33"/>
      <c r="P12" s="33"/>
      <c r="Q12" s="33"/>
      <c r="R12" s="173"/>
      <c r="S12" s="176" t="s">
        <v>290</v>
      </c>
      <c r="T12" s="176"/>
      <c r="U12" s="176">
        <f>F12</f>
        <v>893</v>
      </c>
      <c r="V12" s="176">
        <f>F15</f>
        <v>929</v>
      </c>
      <c r="W12" s="185">
        <f t="shared" ref="W12:W13" si="2">(U12*8+V12*4)/12</f>
        <v>905</v>
      </c>
    </row>
    <row r="13" spans="2:23" ht="18" customHeight="1">
      <c r="B13" s="171"/>
      <c r="C13" s="125"/>
      <c r="D13" s="114" t="s">
        <v>81</v>
      </c>
      <c r="E13" s="32">
        <f>E11+E12</f>
        <v>43</v>
      </c>
      <c r="F13" s="32">
        <f>F11+F12</f>
        <v>2069</v>
      </c>
      <c r="G13" s="33"/>
      <c r="H13" s="32"/>
      <c r="I13" s="32"/>
      <c r="J13" s="32"/>
      <c r="K13" s="32"/>
      <c r="L13" s="32"/>
      <c r="M13" s="32"/>
      <c r="N13" s="32"/>
      <c r="O13" s="32"/>
      <c r="P13" s="32"/>
      <c r="Q13" s="32"/>
      <c r="R13" s="32"/>
      <c r="S13" s="176" t="s">
        <v>292</v>
      </c>
      <c r="T13" s="176"/>
      <c r="U13" s="176">
        <f>F19</f>
        <v>1064</v>
      </c>
      <c r="V13" s="176">
        <f>F22</f>
        <v>1236</v>
      </c>
      <c r="W13" s="185">
        <f t="shared" si="2"/>
        <v>1121.3333333333333</v>
      </c>
    </row>
    <row r="14" spans="2:23" ht="18" customHeight="1">
      <c r="B14" s="171"/>
      <c r="C14" s="125" t="s">
        <v>139</v>
      </c>
      <c r="D14" s="114" t="s">
        <v>137</v>
      </c>
      <c r="E14" s="32">
        <v>27</v>
      </c>
      <c r="F14" s="32">
        <f t="shared" si="0"/>
        <v>1124</v>
      </c>
      <c r="G14" s="33">
        <v>3</v>
      </c>
      <c r="H14" s="33">
        <v>120</v>
      </c>
      <c r="I14" s="33">
        <v>4</v>
      </c>
      <c r="J14" s="33">
        <v>154</v>
      </c>
      <c r="K14" s="33">
        <v>4</v>
      </c>
      <c r="L14" s="33">
        <v>203</v>
      </c>
      <c r="M14" s="33">
        <v>5</v>
      </c>
      <c r="N14" s="33">
        <v>223</v>
      </c>
      <c r="O14" s="33">
        <v>5</v>
      </c>
      <c r="P14" s="33">
        <v>201</v>
      </c>
      <c r="Q14" s="33">
        <v>6</v>
      </c>
      <c r="R14" s="173">
        <v>223</v>
      </c>
      <c r="S14" s="176"/>
      <c r="T14" s="176"/>
      <c r="U14" s="176"/>
      <c r="V14" s="176"/>
      <c r="W14" s="176"/>
    </row>
    <row r="15" spans="2:23" ht="35.4" customHeight="1">
      <c r="B15" s="171"/>
      <c r="C15" s="125"/>
      <c r="D15" s="114" t="s">
        <v>138</v>
      </c>
      <c r="E15" s="32">
        <v>23</v>
      </c>
      <c r="F15" s="32">
        <f t="shared" si="0"/>
        <v>929</v>
      </c>
      <c r="G15" s="33">
        <v>8</v>
      </c>
      <c r="H15" s="33">
        <v>360</v>
      </c>
      <c r="I15" s="33">
        <v>9</v>
      </c>
      <c r="J15" s="33">
        <v>312</v>
      </c>
      <c r="K15" s="33">
        <v>6</v>
      </c>
      <c r="L15" s="33">
        <v>257</v>
      </c>
      <c r="M15" s="33"/>
      <c r="N15" s="33"/>
      <c r="O15" s="33"/>
      <c r="P15" s="33"/>
      <c r="Q15" s="33"/>
      <c r="R15" s="174"/>
      <c r="S15" s="175" t="s">
        <v>201</v>
      </c>
      <c r="T15" s="166" t="s">
        <v>286</v>
      </c>
      <c r="U15" s="167"/>
      <c r="V15" s="167"/>
      <c r="W15" s="168"/>
    </row>
    <row r="16" spans="2:23" ht="32.4" customHeight="1">
      <c r="B16" s="171"/>
      <c r="C16" s="125"/>
      <c r="D16" s="114" t="s">
        <v>81</v>
      </c>
      <c r="E16" s="32">
        <f>E14+E15</f>
        <v>50</v>
      </c>
      <c r="F16" s="32">
        <f>F14+F15</f>
        <v>2053</v>
      </c>
      <c r="G16" s="36"/>
      <c r="H16" s="32"/>
      <c r="I16" s="32"/>
      <c r="J16" s="32"/>
      <c r="K16" s="32"/>
      <c r="L16" s="32"/>
      <c r="M16" s="32"/>
      <c r="N16" s="32"/>
      <c r="O16" s="32"/>
      <c r="P16" s="32"/>
      <c r="Q16" s="32"/>
      <c r="R16" s="169"/>
      <c r="S16" s="176" t="s">
        <v>287</v>
      </c>
      <c r="T16" s="177">
        <f>W4*0.56+W11*0.8</f>
        <v>1126.0533333333333</v>
      </c>
      <c r="U16" s="178" t="s">
        <v>202</v>
      </c>
      <c r="V16" s="176" t="s">
        <v>288</v>
      </c>
      <c r="W16" s="177">
        <f>W4+W11</f>
        <v>1709.6666666666665</v>
      </c>
    </row>
    <row r="17" spans="2:23" ht="27.6" customHeight="1">
      <c r="B17" s="171"/>
      <c r="C17" s="125" t="s">
        <v>140</v>
      </c>
      <c r="D17" s="125"/>
      <c r="E17" s="32">
        <f>E16+E13</f>
        <v>93</v>
      </c>
      <c r="F17" s="32">
        <f t="shared" si="0"/>
        <v>0</v>
      </c>
      <c r="G17" s="36"/>
      <c r="H17" s="36"/>
      <c r="I17" s="36"/>
      <c r="J17" s="36"/>
      <c r="K17" s="36"/>
      <c r="L17" s="36"/>
      <c r="M17" s="36"/>
      <c r="N17" s="36"/>
      <c r="O17" s="36"/>
      <c r="P17" s="36"/>
      <c r="Q17" s="36"/>
      <c r="R17" s="174"/>
      <c r="S17" s="176" t="s">
        <v>289</v>
      </c>
      <c r="T17" s="177">
        <f>W5*0.56+W12*0.8</f>
        <v>1372.8533333333335</v>
      </c>
      <c r="U17" s="179"/>
      <c r="V17" s="176" t="s">
        <v>290</v>
      </c>
      <c r="W17" s="177">
        <f>W5+W12</f>
        <v>2063.666666666667</v>
      </c>
    </row>
    <row r="18" spans="2:23" ht="26.4" customHeight="1">
      <c r="B18" s="171">
        <v>2021</v>
      </c>
      <c r="C18" s="125" t="s">
        <v>136</v>
      </c>
      <c r="D18" s="114" t="s">
        <v>137</v>
      </c>
      <c r="E18" s="34">
        <f>G18+I18+K18+M18+O18+Q18</f>
        <v>31</v>
      </c>
      <c r="F18" s="32">
        <f t="shared" si="0"/>
        <v>1369</v>
      </c>
      <c r="G18" s="34">
        <v>4</v>
      </c>
      <c r="H18" s="173">
        <v>150</v>
      </c>
      <c r="I18" s="34">
        <v>4</v>
      </c>
      <c r="J18" s="173">
        <v>186</v>
      </c>
      <c r="K18" s="34">
        <v>5</v>
      </c>
      <c r="L18" s="173">
        <v>223</v>
      </c>
      <c r="M18" s="34">
        <v>6</v>
      </c>
      <c r="N18" s="173">
        <v>265</v>
      </c>
      <c r="O18" s="34">
        <v>5</v>
      </c>
      <c r="P18" s="173">
        <v>234</v>
      </c>
      <c r="Q18" s="34">
        <v>7</v>
      </c>
      <c r="R18" s="174">
        <v>311</v>
      </c>
      <c r="S18" s="176" t="s">
        <v>291</v>
      </c>
      <c r="T18" s="177">
        <f>W6*0.56+W13*0.8</f>
        <v>1663.3333333333333</v>
      </c>
      <c r="U18" s="179"/>
      <c r="V18" s="176" t="s">
        <v>292</v>
      </c>
      <c r="W18" s="177">
        <f>W6+W13</f>
        <v>2489.6666666666665</v>
      </c>
    </row>
    <row r="19" spans="2:23" ht="18" customHeight="1">
      <c r="B19" s="171"/>
      <c r="C19" s="125"/>
      <c r="D19" s="114" t="s">
        <v>138</v>
      </c>
      <c r="E19" s="35">
        <f>G19+I19+K19</f>
        <v>23</v>
      </c>
      <c r="F19" s="32">
        <f t="shared" si="0"/>
        <v>1064</v>
      </c>
      <c r="G19" s="35">
        <v>8</v>
      </c>
      <c r="H19" s="173">
        <v>330</v>
      </c>
      <c r="I19" s="35">
        <v>9</v>
      </c>
      <c r="J19" s="173">
        <v>425</v>
      </c>
      <c r="K19" s="35">
        <v>6</v>
      </c>
      <c r="L19" s="173">
        <v>309</v>
      </c>
      <c r="M19" s="173"/>
      <c r="N19" s="173"/>
      <c r="O19" s="173"/>
      <c r="P19" s="173"/>
      <c r="Q19" s="173"/>
      <c r="R19" s="173"/>
      <c r="S19" s="176"/>
      <c r="T19" s="176"/>
      <c r="U19" s="176"/>
      <c r="V19" s="176"/>
      <c r="W19" s="176"/>
    </row>
    <row r="20" spans="2:23" ht="18" customHeight="1">
      <c r="B20" s="171"/>
      <c r="C20" s="125"/>
      <c r="D20" s="114" t="s">
        <v>81</v>
      </c>
      <c r="E20" s="32">
        <f>E18+E19</f>
        <v>54</v>
      </c>
      <c r="F20" s="32">
        <f>F18+F19</f>
        <v>2433</v>
      </c>
      <c r="G20" s="173"/>
      <c r="H20" s="32"/>
      <c r="I20" s="32"/>
      <c r="J20" s="32"/>
      <c r="K20" s="32"/>
      <c r="L20" s="32"/>
      <c r="M20" s="32"/>
      <c r="N20" s="32"/>
      <c r="O20" s="32"/>
      <c r="P20" s="32"/>
      <c r="Q20" s="32"/>
      <c r="R20" s="32"/>
      <c r="S20" s="176"/>
      <c r="T20" s="176"/>
      <c r="U20" s="176"/>
      <c r="V20" s="176"/>
      <c r="W20" s="176"/>
    </row>
    <row r="21" spans="2:23" ht="18" customHeight="1">
      <c r="B21" s="171"/>
      <c r="C21" s="125" t="s">
        <v>139</v>
      </c>
      <c r="D21" s="114" t="s">
        <v>137</v>
      </c>
      <c r="E21" s="34">
        <f>G21+I21+K21+M21+O21+Q21</f>
        <v>30</v>
      </c>
      <c r="F21" s="32">
        <f>H21+J21+L21+N21+P21+R21</f>
        <v>1367</v>
      </c>
      <c r="G21" s="34">
        <v>3</v>
      </c>
      <c r="H21" s="173">
        <v>101</v>
      </c>
      <c r="I21" s="34">
        <v>4</v>
      </c>
      <c r="J21" s="173">
        <v>186</v>
      </c>
      <c r="K21" s="34">
        <v>5</v>
      </c>
      <c r="L21" s="173">
        <v>221</v>
      </c>
      <c r="M21" s="34">
        <v>6</v>
      </c>
      <c r="N21" s="173">
        <v>291</v>
      </c>
      <c r="O21" s="34">
        <v>6</v>
      </c>
      <c r="P21" s="173">
        <v>302</v>
      </c>
      <c r="Q21" s="34">
        <v>6</v>
      </c>
      <c r="R21" s="173">
        <v>266</v>
      </c>
      <c r="S21" s="180"/>
      <c r="T21" s="180"/>
      <c r="U21" s="180"/>
      <c r="V21" s="180"/>
      <c r="W21" s="180"/>
    </row>
    <row r="22" spans="2:23" ht="18" customHeight="1">
      <c r="B22" s="171"/>
      <c r="C22" s="125"/>
      <c r="D22" s="114" t="s">
        <v>138</v>
      </c>
      <c r="E22" s="35">
        <f>G22+I22+K22</f>
        <v>28</v>
      </c>
      <c r="F22" s="32">
        <f t="shared" si="0"/>
        <v>1236</v>
      </c>
      <c r="G22" s="35">
        <v>11</v>
      </c>
      <c r="H22" s="173">
        <v>440</v>
      </c>
      <c r="I22" s="35">
        <v>8</v>
      </c>
      <c r="J22" s="173">
        <v>390</v>
      </c>
      <c r="K22" s="35">
        <v>9</v>
      </c>
      <c r="L22" s="173">
        <v>406</v>
      </c>
      <c r="M22" s="173"/>
      <c r="N22" s="173"/>
      <c r="O22" s="173"/>
      <c r="P22" s="173"/>
      <c r="Q22" s="173"/>
      <c r="R22" s="173"/>
      <c r="S22" s="180"/>
      <c r="T22" s="180"/>
      <c r="U22" s="180"/>
      <c r="V22" s="180"/>
      <c r="W22" s="180"/>
    </row>
    <row r="23" spans="2:23" ht="18" customHeight="1">
      <c r="B23" s="171"/>
      <c r="C23" s="125"/>
      <c r="D23" s="114" t="s">
        <v>81</v>
      </c>
      <c r="E23" s="32">
        <f>E21+E22</f>
        <v>58</v>
      </c>
      <c r="F23" s="32">
        <f>F21+F22</f>
        <v>2603</v>
      </c>
      <c r="G23" s="173"/>
      <c r="H23" s="32"/>
      <c r="I23" s="32"/>
      <c r="J23" s="32"/>
      <c r="K23" s="32"/>
      <c r="L23" s="32"/>
      <c r="M23" s="32"/>
      <c r="N23" s="32"/>
      <c r="O23" s="32"/>
      <c r="P23" s="32"/>
      <c r="Q23" s="32"/>
      <c r="R23" s="32"/>
      <c r="S23" s="180"/>
      <c r="T23" s="180"/>
      <c r="U23" s="180"/>
      <c r="V23" s="180"/>
      <c r="W23" s="180"/>
    </row>
    <row r="24" spans="2:23" ht="18" customHeight="1">
      <c r="B24" s="171"/>
      <c r="C24" s="125" t="s">
        <v>140</v>
      </c>
      <c r="D24" s="125"/>
      <c r="E24" s="32">
        <f>E23+E20</f>
        <v>112</v>
      </c>
      <c r="F24" s="32">
        <f>F23+F20</f>
        <v>5036</v>
      </c>
      <c r="G24" s="181"/>
      <c r="H24" s="181"/>
      <c r="I24" s="181"/>
      <c r="J24" s="181"/>
      <c r="K24" s="181"/>
      <c r="L24" s="181"/>
      <c r="M24" s="181"/>
      <c r="N24" s="181"/>
      <c r="O24" s="181"/>
      <c r="P24" s="181"/>
      <c r="Q24" s="181"/>
      <c r="R24" s="181"/>
      <c r="S24" s="180"/>
      <c r="T24" s="180"/>
      <c r="U24" s="180"/>
      <c r="V24" s="180"/>
      <c r="W24" s="182"/>
    </row>
    <row r="25" spans="2:23" ht="15.6">
      <c r="S25" s="96"/>
      <c r="T25" s="96"/>
      <c r="U25" s="96"/>
      <c r="V25" s="96"/>
      <c r="W25" s="96"/>
    </row>
    <row r="26" spans="2:23" ht="15.6">
      <c r="S26" s="97"/>
      <c r="T26" s="97"/>
      <c r="U26" s="97"/>
      <c r="V26" s="97"/>
      <c r="W26" s="97"/>
    </row>
    <row r="27" spans="2:23" ht="15.6">
      <c r="S27" s="94"/>
      <c r="T27" s="94"/>
      <c r="U27" s="94"/>
      <c r="V27" s="94"/>
      <c r="W27" s="94"/>
    </row>
    <row r="28" spans="2:23" ht="15.6">
      <c r="S28" s="94"/>
      <c r="T28" s="94"/>
      <c r="U28" s="94"/>
      <c r="V28" s="94"/>
      <c r="W28" s="94"/>
    </row>
    <row r="29" spans="2:23" ht="15.6">
      <c r="S29" s="94"/>
      <c r="T29" s="94"/>
      <c r="U29" s="94"/>
      <c r="V29" s="94"/>
      <c r="W29" s="94"/>
    </row>
    <row r="30" spans="2:23" ht="15.6">
      <c r="S30" s="94"/>
      <c r="T30" s="94"/>
      <c r="U30" s="94"/>
      <c r="V30" s="94"/>
      <c r="W30" s="94"/>
    </row>
    <row r="31" spans="2:23" ht="15.6">
      <c r="S31" s="94"/>
      <c r="T31" s="94"/>
      <c r="U31" s="94"/>
      <c r="V31" s="94"/>
      <c r="W31" s="94"/>
    </row>
    <row r="32" spans="2:23" ht="15.6">
      <c r="S32" s="94"/>
      <c r="T32" s="94"/>
      <c r="U32" s="94"/>
      <c r="V32" s="94"/>
      <c r="W32" s="94"/>
    </row>
    <row r="33" spans="19:23" ht="15.6">
      <c r="S33" s="94"/>
      <c r="T33" s="94"/>
      <c r="U33" s="94"/>
      <c r="V33" s="94"/>
      <c r="W33" s="95"/>
    </row>
    <row r="34" spans="19:23" ht="15.6">
      <c r="S34" s="89"/>
      <c r="T34" s="89"/>
      <c r="U34" s="89"/>
      <c r="V34" s="89"/>
      <c r="W34" s="89"/>
    </row>
    <row r="64" ht="13.5" hidden="1" customHeight="1"/>
    <row r="65" spans="2:6" ht="13.5" hidden="1" customHeight="1"/>
    <row r="66" spans="2:6" ht="13.5" hidden="1" customHeight="1">
      <c r="B66" s="92" t="s">
        <v>200</v>
      </c>
      <c r="C66" s="90"/>
      <c r="D66" s="91"/>
      <c r="E66" s="91"/>
      <c r="F66" s="91"/>
    </row>
    <row r="67" spans="2:6" hidden="1"/>
    <row r="68" spans="2:6" hidden="1"/>
    <row r="69" spans="2:6" hidden="1"/>
    <row r="70" spans="2:6" hidden="1"/>
    <row r="71" spans="2:6" hidden="1"/>
    <row r="72" spans="2:6" hidden="1"/>
    <row r="73" spans="2:6" hidden="1"/>
    <row r="74" spans="2:6" hidden="1"/>
    <row r="75" spans="2:6" hidden="1"/>
  </sheetData>
  <mergeCells count="26">
    <mergeCell ref="B2:B3"/>
    <mergeCell ref="B4:B10"/>
    <mergeCell ref="B11:B17"/>
    <mergeCell ref="B18:B24"/>
    <mergeCell ref="C2:C3"/>
    <mergeCell ref="C4:C6"/>
    <mergeCell ref="C7:C9"/>
    <mergeCell ref="C11:C13"/>
    <mergeCell ref="C14:C16"/>
    <mergeCell ref="C18:C20"/>
    <mergeCell ref="C21:C23"/>
    <mergeCell ref="S1:W1"/>
    <mergeCell ref="T15:W15"/>
    <mergeCell ref="C10:D10"/>
    <mergeCell ref="C17:D17"/>
    <mergeCell ref="C24:D24"/>
    <mergeCell ref="D2:D3"/>
    <mergeCell ref="C1:Q1"/>
    <mergeCell ref="G2:H2"/>
    <mergeCell ref="I2:J2"/>
    <mergeCell ref="K2:L2"/>
    <mergeCell ref="M2:N2"/>
    <mergeCell ref="O2:P2"/>
    <mergeCell ref="Q2:R2"/>
    <mergeCell ref="E2:E3"/>
    <mergeCell ref="F2:F3"/>
  </mergeCells>
  <phoneticPr fontId="40" type="noConversion"/>
  <printOptions horizontalCentered="1"/>
  <pageMargins left="0.55118110236220474" right="0.39370078740157483" top="0.35433070866141736" bottom="0.39370078740157483" header="0.15748031496062992"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dimension ref="A1:G51"/>
  <sheetViews>
    <sheetView topLeftCell="A37" workbookViewId="0">
      <selection sqref="A1:G1"/>
    </sheetView>
  </sheetViews>
  <sheetFormatPr defaultColWidth="9" defaultRowHeight="14.4"/>
  <cols>
    <col min="1" max="1" width="23.6640625" customWidth="1"/>
    <col min="2" max="2" width="13.44140625" customWidth="1"/>
    <col min="3" max="3" width="12.77734375" customWidth="1"/>
    <col min="8" max="8" width="6" customWidth="1"/>
    <col min="9" max="9" width="24.88671875" customWidth="1"/>
    <col min="16" max="16" width="6.21875" customWidth="1"/>
    <col min="17" max="17" width="24.88671875" customWidth="1"/>
    <col min="24" max="25" width="12.6640625"/>
  </cols>
  <sheetData>
    <row r="1" spans="1:7" ht="24">
      <c r="A1" s="162" t="s">
        <v>215</v>
      </c>
      <c r="B1" s="162"/>
      <c r="C1" s="162"/>
      <c r="D1" s="162"/>
      <c r="E1" s="162"/>
      <c r="F1" s="162"/>
      <c r="G1" s="162"/>
    </row>
    <row r="2" spans="1:7" ht="23.4" customHeight="1">
      <c r="A2" s="27" t="s">
        <v>141</v>
      </c>
      <c r="B2" s="27" t="s">
        <v>142</v>
      </c>
      <c r="C2" s="27" t="s">
        <v>143</v>
      </c>
      <c r="D2" s="27" t="s">
        <v>144</v>
      </c>
      <c r="E2" s="27" t="s">
        <v>145</v>
      </c>
      <c r="F2" s="27" t="s">
        <v>146</v>
      </c>
      <c r="G2" s="27" t="s">
        <v>147</v>
      </c>
    </row>
    <row r="3" spans="1:7" ht="13.5" customHeight="1">
      <c r="A3" s="187" t="s">
        <v>299</v>
      </c>
      <c r="B3" s="183"/>
      <c r="C3" s="183"/>
      <c r="D3" s="183"/>
      <c r="E3" s="188"/>
      <c r="F3" s="189"/>
      <c r="G3" s="183"/>
    </row>
    <row r="4" spans="1:7" ht="13.5" customHeight="1">
      <c r="A4" s="190" t="s">
        <v>148</v>
      </c>
      <c r="B4" s="170">
        <f>213-8-2</f>
        <v>203</v>
      </c>
      <c r="C4" s="170">
        <v>213</v>
      </c>
      <c r="D4" s="191"/>
      <c r="E4" s="192"/>
      <c r="F4" s="192">
        <f>F5+F10</f>
        <v>167</v>
      </c>
      <c r="G4" s="193"/>
    </row>
    <row r="5" spans="1:7" ht="13.5" customHeight="1">
      <c r="A5" s="194" t="s">
        <v>300</v>
      </c>
      <c r="B5" s="170">
        <v>139</v>
      </c>
      <c r="C5" s="170">
        <v>147</v>
      </c>
      <c r="D5" s="191">
        <f>D6+D7</f>
        <v>141.66666666666669</v>
      </c>
      <c r="E5" s="191">
        <f>E6+E7</f>
        <v>155.07927225471084</v>
      </c>
      <c r="F5" s="192">
        <v>142</v>
      </c>
      <c r="G5" s="193">
        <v>0</v>
      </c>
    </row>
    <row r="6" spans="1:7" ht="13.5" customHeight="1">
      <c r="A6" s="195" t="s">
        <v>301</v>
      </c>
      <c r="B6" s="170">
        <v>67</v>
      </c>
      <c r="C6" s="170">
        <v>67</v>
      </c>
      <c r="D6" s="191">
        <f>(B6*8+C6*4)/12</f>
        <v>67</v>
      </c>
      <c r="E6" s="191">
        <f>学生人数核定表!W6/19</f>
        <v>72.017543859649123</v>
      </c>
      <c r="F6" s="193">
        <v>67</v>
      </c>
      <c r="G6" s="193">
        <v>0</v>
      </c>
    </row>
    <row r="7" spans="1:7" ht="13.5" customHeight="1">
      <c r="A7" s="195" t="s">
        <v>302</v>
      </c>
      <c r="B7" s="170">
        <v>72</v>
      </c>
      <c r="C7" s="170">
        <v>80</v>
      </c>
      <c r="D7" s="191">
        <f>(B7*8+C7*4)/12</f>
        <v>74.666666666666671</v>
      </c>
      <c r="E7" s="191">
        <f>学生人数核定表!W13/13.5</f>
        <v>83.061728395061721</v>
      </c>
      <c r="F7" s="193">
        <v>75</v>
      </c>
      <c r="G7" s="193">
        <v>0</v>
      </c>
    </row>
    <row r="8" spans="1:7" ht="13.5" customHeight="1">
      <c r="A8" s="195" t="s">
        <v>303</v>
      </c>
      <c r="B8" s="170"/>
      <c r="C8" s="170"/>
      <c r="D8" s="191"/>
      <c r="E8" s="191"/>
      <c r="F8" s="193"/>
      <c r="G8" s="193"/>
    </row>
    <row r="9" spans="1:7" ht="13.5" customHeight="1">
      <c r="A9" s="196" t="s">
        <v>38</v>
      </c>
      <c r="B9" s="170">
        <v>0</v>
      </c>
      <c r="C9" s="170">
        <v>0</v>
      </c>
      <c r="D9" s="191"/>
      <c r="E9" s="191"/>
      <c r="F9" s="193"/>
      <c r="G9" s="197"/>
    </row>
    <row r="10" spans="1:7" ht="13.5" customHeight="1">
      <c r="A10" s="194" t="s">
        <v>304</v>
      </c>
      <c r="B10" s="170">
        <v>8</v>
      </c>
      <c r="C10" s="170">
        <v>8</v>
      </c>
      <c r="D10" s="191">
        <f>(B10*8+C10*4)/12</f>
        <v>8</v>
      </c>
      <c r="E10" s="198">
        <v>30</v>
      </c>
      <c r="F10" s="199">
        <v>25</v>
      </c>
      <c r="G10" s="200">
        <v>0</v>
      </c>
    </row>
    <row r="11" spans="1:7" ht="13.5" customHeight="1">
      <c r="A11" s="194" t="s">
        <v>305</v>
      </c>
      <c r="B11" s="170">
        <v>21</v>
      </c>
      <c r="C11" s="170">
        <v>21</v>
      </c>
      <c r="D11" s="191">
        <f>(B11*8+C11*4)/12</f>
        <v>21</v>
      </c>
      <c r="E11" s="198"/>
      <c r="F11" s="199"/>
      <c r="G11" s="201"/>
    </row>
    <row r="12" spans="1:7" ht="13.5" customHeight="1">
      <c r="A12" s="194" t="s">
        <v>306</v>
      </c>
      <c r="B12" s="170">
        <v>52</v>
      </c>
      <c r="C12" s="170">
        <v>54</v>
      </c>
      <c r="D12" s="191">
        <f>(B12*8+C12*4)/12</f>
        <v>52.666666666666664</v>
      </c>
      <c r="E12" s="198"/>
      <c r="F12" s="199"/>
      <c r="G12" s="202"/>
    </row>
    <row r="13" spans="1:7" ht="13.5" customHeight="1">
      <c r="A13" s="149" t="s">
        <v>307</v>
      </c>
      <c r="B13" s="170"/>
      <c r="C13" s="170"/>
      <c r="D13" s="170"/>
      <c r="E13" s="203"/>
      <c r="F13" s="203"/>
      <c r="G13" s="203"/>
    </row>
    <row r="14" spans="1:7" ht="13.5" customHeight="1">
      <c r="A14" s="149" t="s">
        <v>308</v>
      </c>
      <c r="B14" s="170">
        <v>0</v>
      </c>
      <c r="C14" s="170">
        <v>0</v>
      </c>
      <c r="D14" s="170"/>
      <c r="E14" s="203"/>
      <c r="F14" s="203"/>
      <c r="G14" s="203"/>
    </row>
    <row r="15" spans="1:7" ht="13.5" customHeight="1">
      <c r="A15" s="149" t="s">
        <v>309</v>
      </c>
      <c r="B15" s="170">
        <v>0</v>
      </c>
      <c r="C15" s="170">
        <v>0</v>
      </c>
      <c r="D15" s="170"/>
      <c r="E15" s="203"/>
      <c r="F15" s="203"/>
      <c r="G15" s="203"/>
    </row>
    <row r="16" spans="1:7" ht="13.5" customHeight="1">
      <c r="A16" s="149" t="s">
        <v>310</v>
      </c>
      <c r="B16" s="170">
        <v>0</v>
      </c>
      <c r="C16" s="170">
        <v>0</v>
      </c>
      <c r="D16" s="170"/>
      <c r="E16" s="203"/>
      <c r="F16" s="203"/>
      <c r="G16" s="203"/>
    </row>
    <row r="17" spans="1:7" ht="13.5" customHeight="1">
      <c r="A17" s="149" t="s">
        <v>311</v>
      </c>
      <c r="B17" s="170">
        <v>0</v>
      </c>
      <c r="C17" s="170">
        <v>0</v>
      </c>
      <c r="D17" s="170"/>
      <c r="E17" s="203"/>
      <c r="F17" s="203"/>
      <c r="G17" s="203"/>
    </row>
    <row r="18" spans="1:7" ht="24">
      <c r="A18" s="162" t="s">
        <v>217</v>
      </c>
      <c r="B18" s="162"/>
      <c r="C18" s="162"/>
      <c r="D18" s="162"/>
      <c r="E18" s="162"/>
      <c r="F18" s="162"/>
      <c r="G18" s="162"/>
    </row>
    <row r="19" spans="1:7" ht="24">
      <c r="A19" s="183" t="s">
        <v>312</v>
      </c>
      <c r="B19" s="183" t="s">
        <v>313</v>
      </c>
      <c r="C19" s="183" t="s">
        <v>314</v>
      </c>
      <c r="D19" s="183" t="s">
        <v>315</v>
      </c>
      <c r="E19" s="183" t="s">
        <v>316</v>
      </c>
      <c r="F19" s="183" t="s">
        <v>297</v>
      </c>
      <c r="G19" s="183" t="s">
        <v>317</v>
      </c>
    </row>
    <row r="20" spans="1:7">
      <c r="A20" s="187" t="s">
        <v>299</v>
      </c>
      <c r="B20" s="183"/>
      <c r="C20" s="183"/>
      <c r="D20" s="183"/>
      <c r="E20" s="188"/>
      <c r="F20" s="189"/>
      <c r="G20" s="183"/>
    </row>
    <row r="21" spans="1:7">
      <c r="A21" s="190" t="s">
        <v>148</v>
      </c>
      <c r="B21" s="170">
        <v>181</v>
      </c>
      <c r="C21" s="170">
        <v>190</v>
      </c>
      <c r="D21" s="191"/>
      <c r="E21" s="192"/>
      <c r="F21" s="192">
        <v>147</v>
      </c>
      <c r="G21" s="193"/>
    </row>
    <row r="22" spans="1:7">
      <c r="A22" s="194" t="s">
        <v>300</v>
      </c>
      <c r="B22" s="170">
        <v>122</v>
      </c>
      <c r="C22" s="170">
        <v>131</v>
      </c>
      <c r="D22" s="191">
        <f>D23+D24</f>
        <v>125</v>
      </c>
      <c r="E22" s="191">
        <f>E23+E24</f>
        <v>128.01949317738791</v>
      </c>
      <c r="F22" s="192">
        <v>125</v>
      </c>
      <c r="G22" s="193">
        <v>0</v>
      </c>
    </row>
    <row r="23" spans="1:7">
      <c r="A23" s="195" t="s">
        <v>301</v>
      </c>
      <c r="B23" s="170">
        <v>59</v>
      </c>
      <c r="C23" s="170">
        <v>60</v>
      </c>
      <c r="D23" s="191">
        <f>(B23*8+C23*4)/12</f>
        <v>59.333333333333336</v>
      </c>
      <c r="E23" s="191">
        <f>学生人数核定表!W5/19</f>
        <v>60.982456140350884</v>
      </c>
      <c r="F23" s="193">
        <v>59</v>
      </c>
      <c r="G23" s="193">
        <v>0</v>
      </c>
    </row>
    <row r="24" spans="1:7">
      <c r="A24" s="195" t="s">
        <v>302</v>
      </c>
      <c r="B24" s="170">
        <v>64</v>
      </c>
      <c r="C24" s="170">
        <v>69</v>
      </c>
      <c r="D24" s="191">
        <f>(B24*8+C24*4)/12</f>
        <v>65.666666666666671</v>
      </c>
      <c r="E24" s="191">
        <f>学生人数核定表!W12/13.5</f>
        <v>67.037037037037038</v>
      </c>
      <c r="F24" s="193">
        <v>66</v>
      </c>
      <c r="G24" s="193">
        <v>0</v>
      </c>
    </row>
    <row r="25" spans="1:7">
      <c r="A25" s="195" t="s">
        <v>303</v>
      </c>
      <c r="B25" s="170"/>
      <c r="C25" s="170"/>
      <c r="D25" s="191"/>
      <c r="E25" s="191"/>
      <c r="F25" s="193"/>
      <c r="G25" s="193"/>
    </row>
    <row r="26" spans="1:7">
      <c r="A26" s="196" t="s">
        <v>38</v>
      </c>
      <c r="B26" s="170">
        <v>0</v>
      </c>
      <c r="C26" s="170">
        <v>0</v>
      </c>
      <c r="D26" s="191"/>
      <c r="E26" s="191"/>
      <c r="F26" s="193"/>
      <c r="G26" s="197"/>
    </row>
    <row r="27" spans="1:7">
      <c r="A27" s="194" t="s">
        <v>304</v>
      </c>
      <c r="B27" s="170">
        <v>8</v>
      </c>
      <c r="C27" s="170">
        <v>8</v>
      </c>
      <c r="D27" s="191">
        <f>(B27*8+C27*4)/12</f>
        <v>8</v>
      </c>
      <c r="E27" s="198">
        <v>25</v>
      </c>
      <c r="F27" s="199">
        <v>22</v>
      </c>
      <c r="G27" s="200">
        <v>4</v>
      </c>
    </row>
    <row r="28" spans="1:7">
      <c r="A28" s="194" t="s">
        <v>305</v>
      </c>
      <c r="B28" s="170">
        <v>21</v>
      </c>
      <c r="C28" s="170">
        <v>21</v>
      </c>
      <c r="D28" s="191">
        <f>(B28*8+C28*4)/12</f>
        <v>21</v>
      </c>
      <c r="E28" s="198"/>
      <c r="F28" s="199"/>
      <c r="G28" s="201"/>
    </row>
    <row r="29" spans="1:7">
      <c r="A29" s="194" t="s">
        <v>306</v>
      </c>
      <c r="B29" s="170">
        <v>46</v>
      </c>
      <c r="C29" s="170">
        <v>49</v>
      </c>
      <c r="D29" s="191">
        <f>(B29*8+C29*4)/12</f>
        <v>47</v>
      </c>
      <c r="E29" s="198"/>
      <c r="F29" s="199"/>
      <c r="G29" s="202"/>
    </row>
    <row r="30" spans="1:7">
      <c r="A30" s="149" t="s">
        <v>307</v>
      </c>
      <c r="B30" s="170"/>
      <c r="C30" s="170"/>
      <c r="D30" s="170"/>
      <c r="E30" s="203"/>
      <c r="F30" s="203"/>
      <c r="G30" s="203"/>
    </row>
    <row r="31" spans="1:7">
      <c r="A31" s="149" t="s">
        <v>308</v>
      </c>
      <c r="B31" s="170">
        <v>0</v>
      </c>
      <c r="C31" s="170">
        <v>0</v>
      </c>
      <c r="D31" s="170"/>
      <c r="E31" s="203"/>
      <c r="F31" s="203"/>
      <c r="G31" s="203"/>
    </row>
    <row r="32" spans="1:7">
      <c r="A32" s="149" t="s">
        <v>309</v>
      </c>
      <c r="B32" s="170">
        <v>0</v>
      </c>
      <c r="C32" s="170">
        <v>0</v>
      </c>
      <c r="D32" s="170"/>
      <c r="E32" s="203"/>
      <c r="F32" s="203"/>
      <c r="G32" s="203"/>
    </row>
    <row r="33" spans="1:7">
      <c r="A33" s="149" t="s">
        <v>310</v>
      </c>
      <c r="B33" s="170">
        <v>0</v>
      </c>
      <c r="C33" s="170">
        <v>0</v>
      </c>
      <c r="D33" s="170"/>
      <c r="E33" s="203"/>
      <c r="F33" s="203"/>
      <c r="G33" s="203"/>
    </row>
    <row r="34" spans="1:7">
      <c r="A34" s="149" t="s">
        <v>311</v>
      </c>
      <c r="B34" s="170">
        <v>0</v>
      </c>
      <c r="C34" s="170">
        <v>0</v>
      </c>
      <c r="D34" s="170"/>
      <c r="E34" s="203"/>
      <c r="F34" s="203"/>
      <c r="G34" s="203"/>
    </row>
    <row r="35" spans="1:7" ht="24">
      <c r="A35" s="162" t="s">
        <v>218</v>
      </c>
      <c r="B35" s="162"/>
      <c r="C35" s="162"/>
      <c r="D35" s="162"/>
      <c r="E35" s="162"/>
      <c r="F35" s="162"/>
      <c r="G35" s="162"/>
    </row>
    <row r="36" spans="1:7" ht="24">
      <c r="A36" s="183" t="s">
        <v>312</v>
      </c>
      <c r="B36" s="183" t="s">
        <v>313</v>
      </c>
      <c r="C36" s="183" t="s">
        <v>314</v>
      </c>
      <c r="D36" s="183" t="s">
        <v>315</v>
      </c>
      <c r="E36" s="183" t="s">
        <v>316</v>
      </c>
      <c r="F36" s="183" t="s">
        <v>297</v>
      </c>
      <c r="G36" s="183" t="s">
        <v>317</v>
      </c>
    </row>
    <row r="37" spans="1:7">
      <c r="A37" s="187" t="s">
        <v>299</v>
      </c>
      <c r="B37" s="183"/>
      <c r="C37" s="183"/>
      <c r="D37" s="183"/>
      <c r="E37" s="188"/>
      <c r="F37" s="189"/>
      <c r="G37" s="183"/>
    </row>
    <row r="38" spans="1:7">
      <c r="A38" s="190" t="s">
        <v>148</v>
      </c>
      <c r="B38" s="170">
        <f>154-13-3</f>
        <v>138</v>
      </c>
      <c r="C38" s="204">
        <v>154</v>
      </c>
      <c r="D38" s="191"/>
      <c r="E38" s="192"/>
      <c r="F38" s="193">
        <v>121</v>
      </c>
      <c r="G38" s="193"/>
    </row>
    <row r="39" spans="1:7">
      <c r="A39" s="194" t="s">
        <v>300</v>
      </c>
      <c r="B39" s="170">
        <v>98</v>
      </c>
      <c r="C39" s="205">
        <v>111</v>
      </c>
      <c r="D39" s="191">
        <v>103</v>
      </c>
      <c r="E39" s="191">
        <v>117</v>
      </c>
      <c r="F39" s="192">
        <v>103</v>
      </c>
      <c r="G39" s="193">
        <v>0</v>
      </c>
    </row>
    <row r="40" spans="1:7">
      <c r="A40" s="195" t="s">
        <v>301</v>
      </c>
      <c r="B40" s="170">
        <v>52</v>
      </c>
      <c r="C40" s="206">
        <v>54</v>
      </c>
      <c r="D40" s="191">
        <f>(B40*8+C40*4)/12</f>
        <v>52.666666666666664</v>
      </c>
      <c r="E40" s="191">
        <f>学生人数核定表!W4/19</f>
        <v>53</v>
      </c>
      <c r="F40" s="193">
        <v>53</v>
      </c>
      <c r="G40" s="193">
        <v>0</v>
      </c>
    </row>
    <row r="41" spans="1:7">
      <c r="A41" s="195" t="s">
        <v>302</v>
      </c>
      <c r="B41" s="170">
        <v>46</v>
      </c>
      <c r="C41" s="206">
        <v>57</v>
      </c>
      <c r="D41" s="191">
        <f>(B41*8+C41*4)/12</f>
        <v>49.666666666666664</v>
      </c>
      <c r="E41" s="191">
        <f>学生人数核定表!W11/13.5</f>
        <v>52.049382716049379</v>
      </c>
      <c r="F41" s="193">
        <v>50</v>
      </c>
      <c r="G41" s="193">
        <v>0</v>
      </c>
    </row>
    <row r="42" spans="1:7">
      <c r="A42" s="195" t="s">
        <v>303</v>
      </c>
      <c r="B42" s="170"/>
      <c r="C42" s="206"/>
      <c r="D42" s="191"/>
      <c r="E42" s="191"/>
      <c r="F42" s="193"/>
      <c r="G42" s="193"/>
    </row>
    <row r="43" spans="1:7">
      <c r="A43" s="196" t="s">
        <v>38</v>
      </c>
      <c r="B43" s="170">
        <v>0</v>
      </c>
      <c r="C43" s="206">
        <v>0</v>
      </c>
      <c r="D43" s="191"/>
      <c r="E43" s="191"/>
      <c r="F43" s="193"/>
      <c r="G43" s="197"/>
    </row>
    <row r="44" spans="1:7">
      <c r="A44" s="194" t="s">
        <v>304</v>
      </c>
      <c r="B44" s="170">
        <v>6</v>
      </c>
      <c r="C44" s="206">
        <v>6</v>
      </c>
      <c r="D44" s="191">
        <f>(B44*8+C44*4)/12</f>
        <v>6</v>
      </c>
      <c r="E44" s="198">
        <v>18</v>
      </c>
      <c r="F44" s="199">
        <v>18</v>
      </c>
      <c r="G44" s="200">
        <v>9</v>
      </c>
    </row>
    <row r="45" spans="1:7">
      <c r="A45" s="194" t="s">
        <v>305</v>
      </c>
      <c r="B45" s="170">
        <v>21</v>
      </c>
      <c r="C45" s="206">
        <v>21</v>
      </c>
      <c r="D45" s="191">
        <f>(B45*8+C45*4)/12</f>
        <v>21</v>
      </c>
      <c r="E45" s="198"/>
      <c r="F45" s="199"/>
      <c r="G45" s="201"/>
    </row>
    <row r="46" spans="1:7">
      <c r="A46" s="194" t="s">
        <v>306</v>
      </c>
      <c r="B46" s="170">
        <v>40</v>
      </c>
      <c r="C46" s="193">
        <v>43</v>
      </c>
      <c r="D46" s="191">
        <f>(B46*8+C46*4)/12</f>
        <v>41</v>
      </c>
      <c r="E46" s="198"/>
      <c r="F46" s="199"/>
      <c r="G46" s="202"/>
    </row>
    <row r="47" spans="1:7">
      <c r="A47" s="149" t="s">
        <v>307</v>
      </c>
      <c r="B47" s="170"/>
      <c r="C47" s="193"/>
      <c r="D47" s="170"/>
      <c r="E47" s="203"/>
      <c r="F47" s="203"/>
      <c r="G47" s="203"/>
    </row>
    <row r="48" spans="1:7">
      <c r="A48" s="149" t="s">
        <v>308</v>
      </c>
      <c r="B48" s="170">
        <v>0</v>
      </c>
      <c r="C48" s="193">
        <v>0</v>
      </c>
      <c r="D48" s="170"/>
      <c r="E48" s="203"/>
      <c r="F48" s="203"/>
      <c r="G48" s="203"/>
    </row>
    <row r="49" spans="1:7">
      <c r="A49" s="149" t="s">
        <v>309</v>
      </c>
      <c r="B49" s="170">
        <v>0</v>
      </c>
      <c r="C49" s="193">
        <v>0</v>
      </c>
      <c r="D49" s="170"/>
      <c r="E49" s="203"/>
      <c r="F49" s="203"/>
      <c r="G49" s="203"/>
    </row>
    <row r="50" spans="1:7">
      <c r="A50" s="149" t="s">
        <v>310</v>
      </c>
      <c r="B50" s="170">
        <v>0</v>
      </c>
      <c r="C50" s="193">
        <v>0</v>
      </c>
      <c r="D50" s="170"/>
      <c r="E50" s="203"/>
      <c r="F50" s="203"/>
      <c r="G50" s="203"/>
    </row>
    <row r="51" spans="1:7">
      <c r="A51" s="149" t="s">
        <v>311</v>
      </c>
      <c r="B51" s="170">
        <v>0</v>
      </c>
      <c r="C51" s="193">
        <v>0</v>
      </c>
      <c r="D51" s="170"/>
      <c r="E51" s="203"/>
      <c r="F51" s="203"/>
      <c r="G51" s="203"/>
    </row>
  </sheetData>
  <mergeCells count="12">
    <mergeCell ref="A1:G1"/>
    <mergeCell ref="A18:G18"/>
    <mergeCell ref="A35:G35"/>
    <mergeCell ref="E10:E12"/>
    <mergeCell ref="F10:F12"/>
    <mergeCell ref="G10:G12"/>
    <mergeCell ref="E27:E29"/>
    <mergeCell ref="F27:F29"/>
    <mergeCell ref="G27:G29"/>
    <mergeCell ref="E44:E46"/>
    <mergeCell ref="F44:F46"/>
    <mergeCell ref="G44:G46"/>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sheetPr>
    <tabColor rgb="FFFFC000"/>
  </sheetPr>
  <dimension ref="A1:H35"/>
  <sheetViews>
    <sheetView workbookViewId="0">
      <selection activeCell="J38" sqref="J38"/>
    </sheetView>
  </sheetViews>
  <sheetFormatPr defaultColWidth="9" defaultRowHeight="14.4"/>
  <cols>
    <col min="1" max="1" width="19.33203125" customWidth="1"/>
    <col min="2" max="2" width="17.21875" style="7" customWidth="1"/>
    <col min="3" max="3" width="14.77734375" customWidth="1"/>
    <col min="4" max="4" width="14.44140625" customWidth="1"/>
    <col min="5" max="6" width="15.109375" customWidth="1"/>
    <col min="7" max="7" width="13.6640625" customWidth="1"/>
  </cols>
  <sheetData>
    <row r="1" spans="1:8" ht="26.4">
      <c r="A1" s="126" t="s">
        <v>219</v>
      </c>
      <c r="B1" s="127"/>
      <c r="C1" s="126"/>
      <c r="D1" s="126"/>
      <c r="E1" s="126"/>
      <c r="F1" s="126"/>
      <c r="G1" s="126"/>
      <c r="H1" s="8"/>
    </row>
    <row r="2" spans="1:8">
      <c r="G2" t="s">
        <v>87</v>
      </c>
    </row>
    <row r="3" spans="1:8" ht="15.6">
      <c r="A3" s="9" t="s">
        <v>141</v>
      </c>
      <c r="B3" s="10" t="s">
        <v>149</v>
      </c>
      <c r="C3" s="11" t="s">
        <v>150</v>
      </c>
      <c r="D3" s="11" t="s">
        <v>151</v>
      </c>
      <c r="E3" s="12" t="s">
        <v>88</v>
      </c>
      <c r="F3" s="11" t="s">
        <v>152</v>
      </c>
      <c r="G3" s="13" t="s">
        <v>153</v>
      </c>
      <c r="H3" s="14" t="s">
        <v>154</v>
      </c>
    </row>
    <row r="4" spans="1:8" ht="15.6">
      <c r="A4" s="15" t="s">
        <v>155</v>
      </c>
      <c r="B4" s="16">
        <f>教育成本归集表!B6</f>
        <v>8915807</v>
      </c>
      <c r="C4" s="17">
        <f>教职工人数核定表!F38*81700</f>
        <v>9885700</v>
      </c>
      <c r="D4" s="17"/>
      <c r="E4" s="17">
        <f>(2666247+1675733+1420200+428514)</f>
        <v>6190694</v>
      </c>
      <c r="F4" s="18"/>
      <c r="G4" s="19"/>
      <c r="H4" s="20"/>
    </row>
    <row r="5" spans="1:8" ht="15.6">
      <c r="A5" s="15" t="s">
        <v>156</v>
      </c>
      <c r="B5" s="21">
        <f>教育成本归集表!B7</f>
        <v>1783161.4</v>
      </c>
      <c r="C5" s="17"/>
      <c r="D5" s="17"/>
      <c r="E5" s="17">
        <f>197593+13500</f>
        <v>211093</v>
      </c>
      <c r="F5" s="18"/>
      <c r="G5" s="22"/>
      <c r="H5" s="20"/>
    </row>
    <row r="6" spans="1:8" ht="15.6">
      <c r="A6" s="23" t="s">
        <v>157</v>
      </c>
      <c r="B6" s="24">
        <f>教育成本归集表!B9</f>
        <v>199233</v>
      </c>
      <c r="C6" s="17"/>
      <c r="D6" s="17"/>
      <c r="E6" s="17">
        <f>52165.2+72310+19204+55552</f>
        <v>199231.2</v>
      </c>
      <c r="F6" s="18"/>
      <c r="G6" s="25"/>
      <c r="H6" s="20"/>
    </row>
    <row r="7" spans="1:8" ht="15.6">
      <c r="A7" s="15" t="s">
        <v>158</v>
      </c>
      <c r="C7" s="17"/>
      <c r="D7" s="17"/>
      <c r="E7" s="17"/>
      <c r="F7" s="18"/>
      <c r="G7" s="22"/>
      <c r="H7" s="20"/>
    </row>
    <row r="8" spans="1:8" ht="15.6">
      <c r="A8" s="23" t="s">
        <v>159</v>
      </c>
      <c r="B8" s="21">
        <v>2135</v>
      </c>
      <c r="C8" s="17"/>
      <c r="D8" s="17"/>
      <c r="E8" s="17"/>
      <c r="F8" s="18"/>
      <c r="G8" s="22"/>
      <c r="H8" s="20"/>
    </row>
    <row r="9" spans="1:8" ht="15.6">
      <c r="A9" s="15" t="s">
        <v>160</v>
      </c>
      <c r="B9" s="24">
        <f>教育成本归集表!B10</f>
        <v>742883.28</v>
      </c>
      <c r="C9" s="93">
        <f>E4*0.12</f>
        <v>742883.28</v>
      </c>
      <c r="D9" s="93"/>
      <c r="E9" s="93">
        <f>C9</f>
        <v>742883.28</v>
      </c>
      <c r="F9" s="93">
        <f>E4*0.05</f>
        <v>309534.7</v>
      </c>
      <c r="G9" s="22"/>
      <c r="H9" s="20"/>
    </row>
    <row r="10" spans="1:8" ht="15.6">
      <c r="A10" s="15" t="s">
        <v>161</v>
      </c>
      <c r="B10" s="21">
        <f>B4*0.025</f>
        <v>222895.17500000002</v>
      </c>
      <c r="C10" s="93">
        <f>E4*0.02</f>
        <v>123813.88</v>
      </c>
      <c r="D10" s="93"/>
      <c r="E10" s="93">
        <f>F10</f>
        <v>123813.88</v>
      </c>
      <c r="F10" s="87">
        <f>E4*0.02</f>
        <v>123813.88</v>
      </c>
      <c r="G10" s="22"/>
      <c r="H10" s="20"/>
    </row>
    <row r="11" spans="1:8" ht="15.6">
      <c r="A11" s="15" t="s">
        <v>162</v>
      </c>
      <c r="B11" s="21">
        <f>B5*0.025</f>
        <v>44579.035000000003</v>
      </c>
      <c r="C11" s="93">
        <f>E4*0.025</f>
        <v>154767.35</v>
      </c>
      <c r="D11" s="93"/>
      <c r="E11" s="93">
        <f>F11</f>
        <v>154767.35</v>
      </c>
      <c r="F11" s="87">
        <f>E4*0.025</f>
        <v>154767.35</v>
      </c>
      <c r="G11" s="22"/>
      <c r="H11" s="20"/>
    </row>
    <row r="12" spans="1:8" ht="15.6">
      <c r="A12" s="20" t="s">
        <v>163</v>
      </c>
      <c r="B12" s="21">
        <v>660230</v>
      </c>
      <c r="C12" s="20"/>
      <c r="D12" s="20"/>
      <c r="E12" s="20"/>
      <c r="F12" s="20"/>
      <c r="G12" s="20"/>
      <c r="H12" s="20"/>
    </row>
    <row r="13" spans="1:8">
      <c r="A13" s="20" t="s">
        <v>81</v>
      </c>
      <c r="B13" s="26">
        <f>SUM(B4:B12)</f>
        <v>12570923.890000001</v>
      </c>
      <c r="C13" s="20"/>
      <c r="D13" s="20"/>
      <c r="E13" s="20"/>
      <c r="F13" s="20"/>
      <c r="G13" s="20"/>
      <c r="H13" s="20"/>
    </row>
    <row r="14" spans="1:8" ht="15.6">
      <c r="A14" s="9" t="s">
        <v>141</v>
      </c>
      <c r="B14" s="10" t="s">
        <v>164</v>
      </c>
      <c r="C14" s="11" t="s">
        <v>150</v>
      </c>
      <c r="D14" s="11" t="s">
        <v>165</v>
      </c>
      <c r="E14" s="12" t="s">
        <v>89</v>
      </c>
      <c r="F14" s="11" t="s">
        <v>152</v>
      </c>
      <c r="G14" s="13" t="s">
        <v>166</v>
      </c>
      <c r="H14" s="14" t="s">
        <v>154</v>
      </c>
    </row>
    <row r="15" spans="1:8" ht="15.6">
      <c r="A15" s="15" t="s">
        <v>155</v>
      </c>
      <c r="B15" s="16">
        <f>教育成本归集表!E6</f>
        <v>14314707</v>
      </c>
      <c r="C15" s="17">
        <f>教职工人数核定表!F21*84000</f>
        <v>12348000</v>
      </c>
      <c r="D15" s="17"/>
      <c r="E15" s="17">
        <f>8600065+577803</f>
        <v>9177868</v>
      </c>
      <c r="F15" s="18"/>
      <c r="G15" s="19"/>
      <c r="H15" s="20"/>
    </row>
    <row r="16" spans="1:8" ht="15.6">
      <c r="A16" s="15" t="s">
        <v>156</v>
      </c>
      <c r="B16" s="21">
        <f>B15*0.1</f>
        <v>1431470.7000000002</v>
      </c>
      <c r="C16" s="17"/>
      <c r="D16" s="17"/>
      <c r="E16" s="17">
        <f>87337</f>
        <v>87337</v>
      </c>
      <c r="F16" s="18"/>
      <c r="G16" s="22"/>
      <c r="H16" s="20"/>
    </row>
    <row r="17" spans="1:8" ht="15.6">
      <c r="A17" s="23" t="s">
        <v>157</v>
      </c>
      <c r="B17" s="21">
        <f>教育成本归集表!E9</f>
        <v>202232.53</v>
      </c>
      <c r="C17" s="17"/>
      <c r="D17" s="17"/>
      <c r="E17" s="17">
        <v>202232.53</v>
      </c>
      <c r="F17" s="18"/>
      <c r="G17" s="25"/>
      <c r="H17" s="20"/>
    </row>
    <row r="18" spans="1:8" ht="15.6">
      <c r="A18" s="15" t="s">
        <v>158</v>
      </c>
      <c r="B18" s="21"/>
      <c r="C18" s="17"/>
      <c r="D18" s="17"/>
      <c r="E18" s="17"/>
      <c r="F18" s="18"/>
      <c r="G18" s="22"/>
      <c r="H18" s="20"/>
    </row>
    <row r="19" spans="1:8" ht="15.6">
      <c r="A19" s="23" t="s">
        <v>159</v>
      </c>
      <c r="B19" s="21">
        <v>9684</v>
      </c>
      <c r="C19" s="17"/>
      <c r="D19" s="17"/>
      <c r="E19" s="17"/>
      <c r="F19" s="18"/>
      <c r="G19" s="22"/>
      <c r="H19" s="20"/>
    </row>
    <row r="20" spans="1:8" ht="15.6">
      <c r="A20" s="15" t="s">
        <v>160</v>
      </c>
      <c r="B20" s="21">
        <f>教育成本归集表!E10</f>
        <v>1101344.1599999999</v>
      </c>
      <c r="C20" s="93">
        <f>E15*0.12</f>
        <v>1101344.1599999999</v>
      </c>
      <c r="D20" s="93"/>
      <c r="E20" s="93">
        <f>C20</f>
        <v>1101344.1599999999</v>
      </c>
      <c r="F20" s="93">
        <f>E15*0.05</f>
        <v>458893.4</v>
      </c>
      <c r="G20" s="22"/>
      <c r="H20" s="20"/>
    </row>
    <row r="21" spans="1:8" ht="15.6">
      <c r="A21" s="15" t="s">
        <v>161</v>
      </c>
      <c r="B21" s="21">
        <f>B15*0.02</f>
        <v>286294.14</v>
      </c>
      <c r="C21" s="93">
        <f>E15*0.02</f>
        <v>183557.36000000002</v>
      </c>
      <c r="D21" s="93"/>
      <c r="E21" s="93">
        <f>F21</f>
        <v>183557.36000000002</v>
      </c>
      <c r="F21" s="87">
        <f>E15*0.02</f>
        <v>183557.36000000002</v>
      </c>
      <c r="G21" s="22"/>
      <c r="H21" s="20"/>
    </row>
    <row r="22" spans="1:8" ht="15.6">
      <c r="A22" s="15" t="s">
        <v>162</v>
      </c>
      <c r="B22" s="21">
        <f>B15*0.02</f>
        <v>286294.14</v>
      </c>
      <c r="C22" s="93">
        <f>E15*0.025</f>
        <v>229446.7</v>
      </c>
      <c r="D22" s="93"/>
      <c r="E22" s="93">
        <f>F22</f>
        <v>229446.7</v>
      </c>
      <c r="F22" s="87">
        <f>E15*0.025</f>
        <v>229446.7</v>
      </c>
      <c r="G22" s="22"/>
      <c r="H22" s="20"/>
    </row>
    <row r="23" spans="1:8">
      <c r="A23" s="20" t="s">
        <v>163</v>
      </c>
      <c r="B23" s="26">
        <f>教育成本归集表!E11</f>
        <v>355407.28</v>
      </c>
      <c r="C23" s="20"/>
      <c r="D23" s="20"/>
      <c r="E23" s="20"/>
      <c r="F23" s="20"/>
      <c r="G23" s="20"/>
      <c r="H23" s="20"/>
    </row>
    <row r="24" spans="1:8">
      <c r="A24" s="20" t="s">
        <v>81</v>
      </c>
      <c r="B24" s="26">
        <f>SUM(B15:B23)</f>
        <v>17987433.949999999</v>
      </c>
      <c r="C24" s="20"/>
      <c r="D24" s="20"/>
      <c r="E24" s="20"/>
      <c r="F24" s="20"/>
      <c r="G24" s="20"/>
      <c r="H24" s="20"/>
    </row>
    <row r="25" spans="1:8" ht="15.6">
      <c r="A25" s="9" t="s">
        <v>141</v>
      </c>
      <c r="B25" s="10" t="s">
        <v>167</v>
      </c>
      <c r="C25" s="11" t="s">
        <v>150</v>
      </c>
      <c r="D25" s="11" t="s">
        <v>168</v>
      </c>
      <c r="E25" s="12" t="s">
        <v>90</v>
      </c>
      <c r="F25" s="11" t="s">
        <v>152</v>
      </c>
      <c r="G25" s="13" t="s">
        <v>169</v>
      </c>
      <c r="H25" s="14" t="s">
        <v>154</v>
      </c>
    </row>
    <row r="26" spans="1:8" ht="15.6">
      <c r="A26" s="15" t="s">
        <v>155</v>
      </c>
      <c r="B26" s="16">
        <f>教育成本归集表!H6</f>
        <v>20510514</v>
      </c>
      <c r="C26" s="17">
        <f>教职工人数核定表!F4*86300</f>
        <v>14412100</v>
      </c>
      <c r="D26" s="17"/>
      <c r="E26" s="17">
        <f>7966562+2361472+727221</f>
        <v>11055255</v>
      </c>
      <c r="F26" s="18"/>
      <c r="G26" s="19"/>
      <c r="H26" s="20"/>
    </row>
    <row r="27" spans="1:8" ht="15.6">
      <c r="A27" s="15" t="s">
        <v>156</v>
      </c>
      <c r="B27" s="21">
        <f>B26*0.1</f>
        <v>2051051.4000000001</v>
      </c>
      <c r="C27" s="17"/>
      <c r="D27" s="17"/>
      <c r="E27" s="17">
        <v>153006</v>
      </c>
      <c r="F27" s="18"/>
      <c r="G27" s="22"/>
      <c r="H27" s="20"/>
    </row>
    <row r="28" spans="1:8" ht="15.6">
      <c r="A28" s="23" t="s">
        <v>157</v>
      </c>
      <c r="B28" s="21">
        <f>教育成本归集表!H9</f>
        <v>448491.42</v>
      </c>
      <c r="C28" s="17"/>
      <c r="D28" s="17"/>
      <c r="E28" s="17">
        <f>教育成本归集表!J9</f>
        <v>432125.52</v>
      </c>
      <c r="F28" s="18"/>
      <c r="G28" s="25"/>
      <c r="H28" s="20"/>
    </row>
    <row r="29" spans="1:8" ht="15.6">
      <c r="A29" s="15" t="s">
        <v>158</v>
      </c>
      <c r="B29" s="21"/>
      <c r="C29" s="17"/>
      <c r="D29" s="17"/>
      <c r="E29" s="17"/>
      <c r="F29" s="18"/>
      <c r="G29" s="22"/>
      <c r="H29" s="20"/>
    </row>
    <row r="30" spans="1:8" ht="15.6">
      <c r="A30" s="23" t="s">
        <v>159</v>
      </c>
      <c r="B30" s="21">
        <v>12086</v>
      </c>
      <c r="C30" s="17"/>
      <c r="D30" s="17"/>
      <c r="E30" s="17"/>
      <c r="F30" s="18"/>
      <c r="G30" s="22"/>
      <c r="H30" s="20"/>
    </row>
    <row r="31" spans="1:8" ht="15.6">
      <c r="A31" s="15" t="s">
        <v>160</v>
      </c>
      <c r="B31" s="21">
        <f>教育成本归集表!H10</f>
        <v>1326630.5999999999</v>
      </c>
      <c r="C31" s="17">
        <f>E26*0.12</f>
        <v>1326630.5999999999</v>
      </c>
      <c r="D31" s="17"/>
      <c r="E31" s="17">
        <f>C31</f>
        <v>1326630.5999999999</v>
      </c>
      <c r="F31" s="17">
        <f>E26*0.05</f>
        <v>552762.75</v>
      </c>
      <c r="G31" s="22"/>
      <c r="H31" s="20"/>
    </row>
    <row r="32" spans="1:8" ht="15.6">
      <c r="A32" s="15" t="s">
        <v>161</v>
      </c>
      <c r="B32" s="21">
        <f>B26*0.02</f>
        <v>410210.28</v>
      </c>
      <c r="C32" s="17">
        <f>E26*0.02</f>
        <v>221105.1</v>
      </c>
      <c r="D32" s="17"/>
      <c r="E32" s="17">
        <f>F32</f>
        <v>221105.1</v>
      </c>
      <c r="F32" s="18">
        <f>E26*0.02</f>
        <v>221105.1</v>
      </c>
      <c r="G32" s="22"/>
      <c r="H32" s="20"/>
    </row>
    <row r="33" spans="1:8" ht="15.6">
      <c r="A33" s="15" t="s">
        <v>162</v>
      </c>
      <c r="B33" s="21">
        <f>B26*0.02</f>
        <v>410210.28</v>
      </c>
      <c r="C33" s="17">
        <f>E26*0.025</f>
        <v>276381.375</v>
      </c>
      <c r="D33" s="17"/>
      <c r="E33" s="17">
        <f>F33</f>
        <v>276381.375</v>
      </c>
      <c r="F33" s="18">
        <f>E26*0.025</f>
        <v>276381.375</v>
      </c>
      <c r="G33" s="22"/>
      <c r="H33" s="20"/>
    </row>
    <row r="34" spans="1:8">
      <c r="A34" s="20" t="s">
        <v>163</v>
      </c>
      <c r="B34" s="26">
        <f>教育成本归集表!H11</f>
        <v>1017817</v>
      </c>
      <c r="C34" s="20"/>
      <c r="D34" s="20"/>
      <c r="E34" s="20"/>
      <c r="F34" s="20"/>
      <c r="G34" s="20"/>
      <c r="H34" s="20"/>
    </row>
    <row r="35" spans="1:8" ht="15.9" customHeight="1">
      <c r="A35" s="20" t="s">
        <v>81</v>
      </c>
      <c r="B35" s="26">
        <f>SUM(B26:B34)</f>
        <v>26187010.980000004</v>
      </c>
      <c r="C35" s="20"/>
      <c r="D35" s="20"/>
      <c r="E35" s="20"/>
      <c r="F35" s="20"/>
      <c r="G35" s="20"/>
      <c r="H35" s="20"/>
    </row>
  </sheetData>
  <mergeCells count="1">
    <mergeCell ref="A1:G1"/>
  </mergeCells>
  <phoneticPr fontId="40" type="noConversion"/>
  <pageMargins left="0.90416666666666701" right="0.69930555555555596" top="0.196527777777778" bottom="0.27500000000000002" header="7.7777777777777807E-2" footer="7.7777777777777807E-2"/>
  <pageSetup paperSize="9" orientation="landscape" r:id="rId1"/>
</worksheet>
</file>

<file path=xl/worksheets/sheet9.xml><?xml version="1.0" encoding="utf-8"?>
<worksheet xmlns="http://schemas.openxmlformats.org/spreadsheetml/2006/main" xmlns:r="http://schemas.openxmlformats.org/officeDocument/2006/relationships">
  <dimension ref="A1:L31"/>
  <sheetViews>
    <sheetView tabSelected="1" workbookViewId="0">
      <selection activeCell="I7" sqref="I7"/>
    </sheetView>
  </sheetViews>
  <sheetFormatPr defaultColWidth="9" defaultRowHeight="14.4"/>
  <cols>
    <col min="1" max="1" width="25.88671875" customWidth="1"/>
    <col min="2" max="2" width="16.33203125" style="6" customWidth="1"/>
    <col min="3" max="3" width="14.33203125" style="6" customWidth="1"/>
    <col min="4" max="4" width="15" style="6" customWidth="1"/>
    <col min="5" max="5" width="15.109375" style="6" customWidth="1"/>
    <col min="6" max="6" width="18.33203125" customWidth="1"/>
    <col min="7" max="7" width="15.77734375" customWidth="1"/>
    <col min="8" max="8" width="16" customWidth="1"/>
    <col min="9" max="9" width="15.44140625" customWidth="1"/>
    <col min="10" max="10" width="13.109375" customWidth="1"/>
    <col min="11" max="11" width="4.33203125" customWidth="1"/>
    <col min="12" max="12" width="14.44140625" customWidth="1"/>
    <col min="13" max="13" width="9.33203125"/>
  </cols>
  <sheetData>
    <row r="1" spans="1:12" ht="34.799999999999997" customHeight="1">
      <c r="A1" s="207" t="s">
        <v>220</v>
      </c>
      <c r="B1" s="208"/>
      <c r="C1" s="208"/>
      <c r="D1" s="208"/>
      <c r="E1" s="208"/>
      <c r="F1" s="103"/>
      <c r="G1" s="101"/>
      <c r="H1" s="6"/>
      <c r="I1" s="101"/>
      <c r="J1" s="101"/>
      <c r="L1" s="101"/>
    </row>
    <row r="2" spans="1:12" ht="21.75" customHeight="1">
      <c r="A2" s="105" t="s">
        <v>221</v>
      </c>
      <c r="B2" s="106" t="s">
        <v>222</v>
      </c>
      <c r="C2" s="106" t="s">
        <v>223</v>
      </c>
      <c r="D2" s="106" t="s">
        <v>224</v>
      </c>
      <c r="E2" s="106" t="s">
        <v>225</v>
      </c>
      <c r="F2" s="100"/>
      <c r="G2" s="101"/>
      <c r="I2" s="101"/>
      <c r="J2" s="101"/>
      <c r="L2" s="101"/>
    </row>
    <row r="3" spans="1:12" ht="34.799999999999997" customHeight="1">
      <c r="A3" s="107" t="s">
        <v>226</v>
      </c>
      <c r="B3" s="108">
        <v>258000000</v>
      </c>
      <c r="C3" s="108">
        <v>180</v>
      </c>
      <c r="D3" s="108">
        <v>0</v>
      </c>
      <c r="E3" s="108">
        <v>6364262.1533333296</v>
      </c>
      <c r="F3" s="100"/>
      <c r="G3" s="101"/>
      <c r="H3" s="101"/>
      <c r="I3" s="101"/>
      <c r="J3" s="101"/>
    </row>
    <row r="4" spans="1:12" ht="21.75" customHeight="1">
      <c r="A4" s="109" t="s">
        <v>227</v>
      </c>
      <c r="B4" s="110">
        <v>246876931</v>
      </c>
      <c r="C4" s="110">
        <v>80</v>
      </c>
      <c r="D4" s="110">
        <v>0</v>
      </c>
      <c r="E4" s="110">
        <v>4941858.62</v>
      </c>
      <c r="F4" s="100"/>
      <c r="G4" s="101"/>
      <c r="H4" s="101"/>
      <c r="I4" s="101"/>
      <c r="J4" s="101"/>
    </row>
    <row r="5" spans="1:12" ht="21.75" customHeight="1">
      <c r="A5" s="111" t="s">
        <v>228</v>
      </c>
      <c r="B5" s="112">
        <v>246552931</v>
      </c>
      <c r="C5" s="112">
        <v>50</v>
      </c>
      <c r="D5" s="112">
        <v>0</v>
      </c>
      <c r="E5" s="112">
        <v>4931058.62</v>
      </c>
      <c r="F5" s="100"/>
      <c r="G5" s="101"/>
      <c r="H5" s="101"/>
      <c r="I5" s="101"/>
      <c r="J5" s="101"/>
    </row>
    <row r="6" spans="1:12" ht="21.75" customHeight="1">
      <c r="A6" s="111" t="s">
        <v>229</v>
      </c>
      <c r="B6" s="112"/>
      <c r="C6" s="112"/>
      <c r="D6" s="112"/>
      <c r="E6" s="112"/>
      <c r="F6" s="100"/>
      <c r="G6" s="101"/>
      <c r="H6" s="101"/>
      <c r="I6" s="101"/>
      <c r="J6" s="101"/>
    </row>
    <row r="7" spans="1:12" ht="21.75" customHeight="1">
      <c r="A7" s="111" t="s">
        <v>230</v>
      </c>
      <c r="B7" s="112"/>
      <c r="C7" s="112"/>
      <c r="D7" s="112"/>
      <c r="E7" s="112"/>
      <c r="F7" s="100"/>
      <c r="G7" s="101"/>
      <c r="H7" s="101"/>
      <c r="I7" s="101"/>
      <c r="J7" s="101"/>
    </row>
    <row r="8" spans="1:12" ht="21.75" customHeight="1">
      <c r="A8" s="111" t="s">
        <v>231</v>
      </c>
      <c r="B8" s="112">
        <v>324000</v>
      </c>
      <c r="C8" s="112">
        <v>30</v>
      </c>
      <c r="D8" s="112">
        <v>0</v>
      </c>
      <c r="E8" s="112">
        <v>10800</v>
      </c>
      <c r="F8" s="100"/>
      <c r="G8" s="101"/>
      <c r="H8" s="101"/>
      <c r="I8" s="101"/>
      <c r="J8" s="101"/>
    </row>
    <row r="9" spans="1:12" ht="21.75" customHeight="1">
      <c r="A9" s="113" t="s">
        <v>232</v>
      </c>
      <c r="B9" s="110">
        <v>6278044</v>
      </c>
      <c r="C9" s="110">
        <v>70</v>
      </c>
      <c r="D9" s="110">
        <v>0</v>
      </c>
      <c r="E9" s="110">
        <v>925422.53333333298</v>
      </c>
      <c r="F9" s="100"/>
      <c r="G9" s="101"/>
      <c r="H9" s="101"/>
      <c r="I9" s="101"/>
      <c r="J9" s="101"/>
    </row>
    <row r="10" spans="1:12" ht="21.75" customHeight="1">
      <c r="A10" s="111" t="s">
        <v>170</v>
      </c>
      <c r="B10" s="112">
        <v>631462</v>
      </c>
      <c r="C10" s="112">
        <v>5</v>
      </c>
      <c r="D10" s="112">
        <v>0</v>
      </c>
      <c r="E10" s="112">
        <v>126292.4</v>
      </c>
      <c r="F10" s="100"/>
      <c r="G10" s="209"/>
      <c r="H10" s="209"/>
      <c r="I10" s="209"/>
      <c r="J10" s="209"/>
    </row>
    <row r="11" spans="1:12" ht="21.75" customHeight="1">
      <c r="A11" s="111" t="s">
        <v>171</v>
      </c>
      <c r="B11" s="112">
        <v>383828</v>
      </c>
      <c r="C11" s="112">
        <v>5</v>
      </c>
      <c r="D11" s="112">
        <v>0</v>
      </c>
      <c r="E11" s="112">
        <v>76765.600000000006</v>
      </c>
      <c r="F11" s="100"/>
      <c r="G11" s="209"/>
      <c r="H11" s="209"/>
      <c r="I11" s="209"/>
      <c r="J11" s="209"/>
    </row>
    <row r="12" spans="1:12" ht="21.75" customHeight="1">
      <c r="A12" s="111" t="s">
        <v>172</v>
      </c>
      <c r="B12" s="112">
        <v>654000</v>
      </c>
      <c r="C12" s="112">
        <v>10</v>
      </c>
      <c r="D12" s="112">
        <v>0</v>
      </c>
      <c r="E12" s="112">
        <v>65400</v>
      </c>
      <c r="F12" s="102"/>
      <c r="G12" s="209"/>
      <c r="H12" s="209"/>
      <c r="I12" s="209"/>
      <c r="J12" s="209"/>
    </row>
    <row r="13" spans="1:12" ht="21.75" customHeight="1">
      <c r="A13" s="111" t="s">
        <v>173</v>
      </c>
      <c r="B13" s="112">
        <v>1985897</v>
      </c>
      <c r="C13" s="112">
        <v>15</v>
      </c>
      <c r="D13" s="112">
        <v>0</v>
      </c>
      <c r="E13" s="112">
        <v>132393.13333333301</v>
      </c>
      <c r="F13" s="100"/>
      <c r="G13" s="209"/>
      <c r="H13" s="209"/>
      <c r="I13" s="209"/>
      <c r="J13" s="209"/>
    </row>
    <row r="14" spans="1:12" ht="21.75" customHeight="1">
      <c r="A14" s="111" t="s">
        <v>174</v>
      </c>
      <c r="B14" s="112">
        <v>663100</v>
      </c>
      <c r="C14" s="112">
        <v>5</v>
      </c>
      <c r="D14" s="112">
        <v>0</v>
      </c>
      <c r="E14" s="112">
        <v>132620</v>
      </c>
      <c r="F14" s="100"/>
      <c r="G14" s="209"/>
      <c r="H14" s="209"/>
      <c r="I14" s="209"/>
      <c r="J14" s="209"/>
    </row>
    <row r="15" spans="1:12" ht="21.75" customHeight="1">
      <c r="A15" s="111" t="s">
        <v>175</v>
      </c>
      <c r="B15" s="112">
        <v>1042583</v>
      </c>
      <c r="C15" s="112">
        <v>5</v>
      </c>
      <c r="D15" s="112">
        <v>0</v>
      </c>
      <c r="E15" s="112">
        <v>208516.6</v>
      </c>
      <c r="F15" s="100"/>
      <c r="G15" s="209"/>
      <c r="H15" s="209"/>
      <c r="I15" s="209"/>
      <c r="J15" s="209"/>
    </row>
    <row r="16" spans="1:12" ht="21.75" customHeight="1">
      <c r="A16" s="111" t="s">
        <v>176</v>
      </c>
      <c r="B16" s="112">
        <v>108301</v>
      </c>
      <c r="C16" s="112">
        <v>5</v>
      </c>
      <c r="D16" s="112">
        <v>0</v>
      </c>
      <c r="E16" s="112">
        <v>21660.2</v>
      </c>
      <c r="F16" s="100"/>
      <c r="G16" s="209"/>
      <c r="H16" s="209"/>
      <c r="I16" s="209"/>
      <c r="J16" s="209"/>
    </row>
    <row r="17" spans="1:10" ht="21.75" customHeight="1">
      <c r="A17" s="111" t="s">
        <v>177</v>
      </c>
      <c r="B17" s="112">
        <v>601865</v>
      </c>
      <c r="C17" s="112">
        <v>5</v>
      </c>
      <c r="D17" s="112">
        <v>0</v>
      </c>
      <c r="E17" s="112">
        <v>120373</v>
      </c>
      <c r="F17" s="100"/>
      <c r="G17" s="209"/>
      <c r="H17" s="209"/>
      <c r="I17" s="209"/>
      <c r="J17" s="209"/>
    </row>
    <row r="18" spans="1:10" ht="21.75" customHeight="1">
      <c r="A18" s="111" t="s">
        <v>178</v>
      </c>
      <c r="B18" s="112">
        <v>69873</v>
      </c>
      <c r="C18" s="112">
        <v>5</v>
      </c>
      <c r="D18" s="112">
        <v>0</v>
      </c>
      <c r="E18" s="112">
        <v>13974.6</v>
      </c>
      <c r="F18" s="100"/>
      <c r="G18" s="209"/>
      <c r="H18" s="209"/>
      <c r="I18" s="209"/>
      <c r="J18" s="209"/>
    </row>
    <row r="19" spans="1:10" ht="21.75" customHeight="1">
      <c r="A19" s="111" t="s">
        <v>179</v>
      </c>
      <c r="B19" s="112">
        <v>99045</v>
      </c>
      <c r="C19" s="112">
        <v>5</v>
      </c>
      <c r="D19" s="112">
        <v>0</v>
      </c>
      <c r="E19" s="112">
        <v>19809</v>
      </c>
      <c r="F19" s="102"/>
      <c r="G19" s="209"/>
      <c r="H19" s="209"/>
      <c r="I19" s="209"/>
      <c r="J19" s="209"/>
    </row>
    <row r="20" spans="1:10" ht="38.4" customHeight="1">
      <c r="A20" s="111" t="s">
        <v>180</v>
      </c>
      <c r="B20" s="112">
        <v>38090</v>
      </c>
      <c r="C20" s="112">
        <v>5</v>
      </c>
      <c r="D20" s="112">
        <v>0</v>
      </c>
      <c r="E20" s="112">
        <v>7618</v>
      </c>
      <c r="F20" s="100"/>
      <c r="G20" s="209"/>
      <c r="H20" s="209"/>
      <c r="I20" s="209"/>
      <c r="J20" s="209"/>
    </row>
    <row r="21" spans="1:10" ht="21.75" customHeight="1">
      <c r="A21" s="113" t="s">
        <v>181</v>
      </c>
      <c r="B21" s="110">
        <v>2294601</v>
      </c>
      <c r="C21" s="110">
        <v>25</v>
      </c>
      <c r="D21" s="110">
        <v>0</v>
      </c>
      <c r="E21" s="110">
        <v>458920.2</v>
      </c>
      <c r="F21" s="100"/>
      <c r="G21" s="101"/>
      <c r="H21" s="101"/>
      <c r="I21" s="101"/>
      <c r="J21" s="101"/>
    </row>
    <row r="22" spans="1:10" ht="21.75" customHeight="1">
      <c r="A22" s="111" t="s">
        <v>182</v>
      </c>
      <c r="B22" s="112">
        <v>109430</v>
      </c>
      <c r="C22" s="112">
        <v>5</v>
      </c>
      <c r="D22" s="112">
        <v>0</v>
      </c>
      <c r="E22" s="112">
        <v>21886</v>
      </c>
      <c r="F22" s="100"/>
      <c r="G22" s="101"/>
      <c r="H22" s="101"/>
      <c r="I22" s="101"/>
      <c r="J22" s="101"/>
    </row>
    <row r="23" spans="1:10" ht="16.2">
      <c r="A23" s="111" t="s">
        <v>183</v>
      </c>
      <c r="B23" s="112">
        <v>184487</v>
      </c>
      <c r="C23" s="112">
        <v>5</v>
      </c>
      <c r="D23" s="112">
        <v>0</v>
      </c>
      <c r="E23" s="112">
        <v>36897.4</v>
      </c>
      <c r="F23" s="98"/>
      <c r="G23" s="99"/>
      <c r="H23" s="99"/>
      <c r="I23" s="99"/>
      <c r="J23" s="99"/>
    </row>
    <row r="24" spans="1:10" ht="16.2">
      <c r="A24" s="111" t="s">
        <v>184</v>
      </c>
      <c r="B24" s="112">
        <v>980538</v>
      </c>
      <c r="C24" s="112">
        <v>5</v>
      </c>
      <c r="D24" s="112">
        <v>0</v>
      </c>
      <c r="E24" s="112">
        <v>196107.6</v>
      </c>
    </row>
    <row r="25" spans="1:10" ht="16.2">
      <c r="A25" s="111" t="s">
        <v>185</v>
      </c>
      <c r="B25" s="112">
        <v>36954</v>
      </c>
      <c r="C25" s="112">
        <v>5</v>
      </c>
      <c r="D25" s="112">
        <v>0</v>
      </c>
      <c r="E25" s="112">
        <v>7390.8</v>
      </c>
    </row>
    <row r="26" spans="1:10" ht="16.2">
      <c r="A26" s="111" t="s">
        <v>186</v>
      </c>
      <c r="B26" s="112">
        <v>983192</v>
      </c>
      <c r="C26" s="112">
        <v>5</v>
      </c>
      <c r="D26" s="112">
        <v>0</v>
      </c>
      <c r="E26" s="112">
        <v>196638.4</v>
      </c>
    </row>
    <row r="27" spans="1:10" ht="16.2">
      <c r="A27" s="111" t="s">
        <v>187</v>
      </c>
      <c r="B27" s="112"/>
      <c r="C27" s="112"/>
      <c r="D27" s="112"/>
      <c r="E27" s="112"/>
    </row>
    <row r="28" spans="1:10" ht="20.399999999999999" customHeight="1">
      <c r="A28" s="113" t="s">
        <v>188</v>
      </c>
      <c r="B28" s="110">
        <v>2550424</v>
      </c>
      <c r="C28" s="110">
        <v>5</v>
      </c>
      <c r="D28" s="110">
        <v>0</v>
      </c>
      <c r="E28" s="110">
        <v>38060.800000000003</v>
      </c>
    </row>
    <row r="29" spans="1:10" ht="21" customHeight="1">
      <c r="A29" s="111" t="s">
        <v>189</v>
      </c>
      <c r="B29" s="112">
        <v>2360120</v>
      </c>
      <c r="C29" s="112"/>
      <c r="D29" s="112"/>
      <c r="E29" s="112"/>
    </row>
    <row r="30" spans="1:10" ht="34.799999999999997" customHeight="1">
      <c r="A30" s="111" t="s">
        <v>190</v>
      </c>
      <c r="B30" s="112">
        <v>1997627</v>
      </c>
      <c r="C30" s="112">
        <v>5</v>
      </c>
      <c r="D30" s="112">
        <v>0</v>
      </c>
      <c r="E30" s="112">
        <v>399525.4</v>
      </c>
    </row>
    <row r="31" spans="1:10" ht="23.4" customHeight="1">
      <c r="A31" s="111" t="s">
        <v>191</v>
      </c>
      <c r="B31" s="112">
        <v>190304</v>
      </c>
      <c r="C31" s="112">
        <v>5</v>
      </c>
      <c r="D31" s="112">
        <v>0</v>
      </c>
      <c r="E31" s="112">
        <v>38060.800000000003</v>
      </c>
    </row>
  </sheetData>
  <mergeCells count="1">
    <mergeCell ref="A1:E1"/>
  </mergeCells>
  <phoneticPr fontId="40" type="noConversion"/>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封面</vt:lpstr>
      <vt:lpstr>基本情况表</vt:lpstr>
      <vt:lpstr>收入情况表</vt:lpstr>
      <vt:lpstr>教育成本归集表</vt:lpstr>
      <vt:lpstr>教育培养成本核定表</vt:lpstr>
      <vt:lpstr>学生人数核定表</vt:lpstr>
      <vt:lpstr>教职工人数核定表</vt:lpstr>
      <vt:lpstr>薪酬核定表</vt:lpstr>
      <vt:lpstr>固定资产折旧计算表</vt:lpstr>
      <vt:lpstr>承若书</vt:lpstr>
      <vt:lpstr>教育成本归集表!Print_Titles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webUser</cp:lastModifiedBy>
  <cp:lastPrinted>2023-01-11T02:35:50Z</cp:lastPrinted>
  <dcterms:created xsi:type="dcterms:W3CDTF">2022-07-04T01:13:00Z</dcterms:created>
  <dcterms:modified xsi:type="dcterms:W3CDTF">2023-01-11T02:37:36Z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39221DB2B4C84D7BB70503D455C2F54C</vt:lpwstr>
  </property>
  <property fmtid="{D5CDD505-2E9C-101B-9397-08002B2CF9AE}" pid="3" name="KSOProductBuildVer">
    <vt:lpwstr>2052-11.1.0.12302</vt:lpwstr>
  </property>
</Properties>
</file>